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kramar\Desktop\"/>
    </mc:Choice>
  </mc:AlternateContent>
  <workbookProtection workbookPassword="DE31" lockStructure="1"/>
  <bookViews>
    <workbookView xWindow="0" yWindow="0" windowWidth="28800" windowHeight="12435" firstSheet="1" activeTab="4"/>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3" hidden="1">'ANALITIKA EU PROJEKATA'!$A$2:$I$3</definedName>
    <definedName name="_xlnm._FilterDatabase" localSheetId="1" hidden="1">'Plan prihoda za unos u SAP'!$Q$5:$U$105</definedName>
    <definedName name="_xlnm._FilterDatabase" localSheetId="5" hidden="1">'PLAN RASHODA I IZDATAKA'!$B$70:$V$85</definedName>
    <definedName name="_xlnm._FilterDatabase" localSheetId="2" hidden="1">'Plan rashoda za unos u SAP'!$A$2:$K$3</definedName>
    <definedName name="_xlnm.Print_Area" localSheetId="3">'ANALITIKA EU PROJEKATA'!$A$2:$I$3</definedName>
    <definedName name="_xlnm.Print_Area" localSheetId="0">'Opći dio'!$A$3:$E$32</definedName>
    <definedName name="_xlnm.Print_Area" localSheetId="1">'Plan prihoda za unos u SAP'!$A$2:$I$3</definedName>
    <definedName name="_xlnm.Print_Area" localSheetId="2">'Plan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8" i="4" l="1"/>
  <c r="I7" i="4"/>
  <c r="K3" i="17"/>
  <c r="H7" i="4"/>
  <c r="J3" i="17"/>
  <c r="G21" i="25"/>
  <c r="G7" i="4" l="1"/>
  <c r="I3" i="17"/>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B4" i="25" l="1"/>
  <c r="D4" i="25"/>
  <c r="B5" i="25"/>
  <c r="D5" i="25"/>
  <c r="B6" i="25"/>
  <c r="D6" i="25"/>
  <c r="B7" i="25"/>
  <c r="D7" i="25"/>
  <c r="B8" i="25"/>
  <c r="D8" i="25"/>
  <c r="B9" i="25"/>
  <c r="D9" i="25"/>
  <c r="B10" i="25"/>
  <c r="D10" i="25"/>
  <c r="B11" i="25"/>
  <c r="D11" i="25"/>
  <c r="B12" i="25"/>
  <c r="D12" i="25"/>
  <c r="B13" i="25"/>
  <c r="D13" i="25"/>
  <c r="B14" i="25"/>
  <c r="D14" i="25"/>
  <c r="B15" i="25"/>
  <c r="D15" i="25"/>
  <c r="B16" i="25"/>
  <c r="D16" i="25"/>
  <c r="B17" i="25"/>
  <c r="D17" i="25"/>
  <c r="B18" i="25"/>
  <c r="D18" i="25"/>
  <c r="B19" i="25"/>
  <c r="D19" i="25"/>
  <c r="B20" i="25"/>
  <c r="D20" i="25"/>
  <c r="B21" i="25"/>
  <c r="D21" i="25"/>
  <c r="B22" i="25"/>
  <c r="D22" i="25"/>
  <c r="B23" i="25"/>
  <c r="D23" i="25"/>
  <c r="B24" i="25"/>
  <c r="D24" i="25"/>
  <c r="B25" i="25"/>
  <c r="D25" i="25"/>
  <c r="B26" i="25"/>
  <c r="D26" i="25"/>
  <c r="B27" i="25"/>
  <c r="D27" i="25"/>
  <c r="B28" i="25"/>
  <c r="D28" i="25"/>
  <c r="B29" i="25"/>
  <c r="D29" i="25"/>
  <c r="B30" i="25"/>
  <c r="D30" i="25"/>
  <c r="B31" i="25"/>
  <c r="D31" i="25"/>
  <c r="B32" i="25"/>
  <c r="D32" i="25"/>
  <c r="B33" i="25"/>
  <c r="D33" i="25"/>
  <c r="B34" i="25"/>
  <c r="D34" i="25"/>
  <c r="B35" i="25"/>
  <c r="D35" i="25"/>
  <c r="B36" i="25"/>
  <c r="D36" i="25"/>
  <c r="B37" i="25"/>
  <c r="D37" i="25"/>
  <c r="B38" i="25"/>
  <c r="D38" i="25"/>
  <c r="B39" i="25"/>
  <c r="D39" i="25"/>
  <c r="B40" i="25"/>
  <c r="D40" i="25"/>
  <c r="B41" i="25"/>
  <c r="D41" i="25"/>
  <c r="B42" i="25"/>
  <c r="D42" i="25"/>
  <c r="B43" i="25"/>
  <c r="D43" i="25"/>
  <c r="B44" i="25"/>
  <c r="D44" i="25"/>
  <c r="B45" i="25"/>
  <c r="D45" i="25"/>
  <c r="B46" i="25"/>
  <c r="D46" i="25"/>
  <c r="B47" i="25"/>
  <c r="D47" i="25"/>
  <c r="B48" i="25"/>
  <c r="D48" i="25"/>
  <c r="B49" i="25"/>
  <c r="D49" i="25"/>
  <c r="B50" i="25"/>
  <c r="D50" i="25"/>
  <c r="B51" i="25"/>
  <c r="D51" i="25"/>
  <c r="B52" i="25"/>
  <c r="D52" i="25"/>
  <c r="B53" i="25"/>
  <c r="D53" i="25"/>
  <c r="B54" i="25"/>
  <c r="D54" i="25"/>
  <c r="B55" i="25"/>
  <c r="D55" i="25"/>
  <c r="B56" i="25"/>
  <c r="D56" i="25"/>
  <c r="B57" i="25"/>
  <c r="D57" i="25"/>
  <c r="B58" i="25"/>
  <c r="D58" i="25"/>
  <c r="B59" i="25"/>
  <c r="D59" i="25"/>
  <c r="B60" i="25"/>
  <c r="D60" i="25"/>
  <c r="B61" i="25"/>
  <c r="D61" i="25"/>
  <c r="B62" i="25"/>
  <c r="D62" i="25"/>
  <c r="B63" i="25"/>
  <c r="D63" i="25"/>
  <c r="B64" i="25"/>
  <c r="D64" i="25"/>
  <c r="B65" i="25"/>
  <c r="D65" i="25"/>
  <c r="B66" i="25"/>
  <c r="D66" i="25"/>
  <c r="B67" i="25"/>
  <c r="D67" i="25"/>
  <c r="B68" i="25"/>
  <c r="D68" i="25"/>
  <c r="B69" i="25"/>
  <c r="D69" i="25"/>
  <c r="B70" i="25"/>
  <c r="D70" i="25"/>
  <c r="B71" i="25"/>
  <c r="D71" i="25"/>
  <c r="B72" i="25"/>
  <c r="D72" i="25"/>
  <c r="B73" i="25"/>
  <c r="D73" i="25"/>
  <c r="B74" i="25"/>
  <c r="D74" i="25"/>
  <c r="B75" i="25"/>
  <c r="D75" i="25"/>
  <c r="B76" i="25"/>
  <c r="D76" i="25"/>
  <c r="B77" i="25"/>
  <c r="D77" i="25"/>
  <c r="B78" i="25"/>
  <c r="D78" i="25"/>
  <c r="B79" i="25"/>
  <c r="D79" i="25"/>
  <c r="B80" i="25"/>
  <c r="D80" i="25"/>
  <c r="B81" i="25"/>
  <c r="D81" i="25"/>
  <c r="B82" i="25"/>
  <c r="D82" i="25"/>
  <c r="B83" i="25"/>
  <c r="D83" i="25"/>
  <c r="B84" i="25"/>
  <c r="D84" i="25"/>
  <c r="B85" i="25"/>
  <c r="D85" i="25"/>
  <c r="B86" i="25"/>
  <c r="D86" i="25"/>
  <c r="B87" i="25"/>
  <c r="D87" i="25"/>
  <c r="B88" i="25"/>
  <c r="D88" i="25"/>
  <c r="B89" i="25"/>
  <c r="D89" i="25"/>
  <c r="B90" i="25"/>
  <c r="D90" i="25"/>
  <c r="B91" i="25"/>
  <c r="D91" i="25"/>
  <c r="B92" i="25"/>
  <c r="D92" i="25"/>
  <c r="B93" i="25"/>
  <c r="D93" i="25"/>
  <c r="B94" i="25"/>
  <c r="D94" i="25"/>
  <c r="B95" i="25"/>
  <c r="D95" i="25"/>
  <c r="B96" i="25"/>
  <c r="D96" i="25"/>
  <c r="B97" i="25"/>
  <c r="D97" i="25"/>
  <c r="B98" i="25"/>
  <c r="D98" i="25"/>
  <c r="B99" i="25"/>
  <c r="D99" i="25"/>
  <c r="B100" i="25"/>
  <c r="D100" i="25"/>
  <c r="B101" i="25"/>
  <c r="D101" i="25"/>
  <c r="B102" i="25"/>
  <c r="D102" i="25"/>
  <c r="B103" i="25"/>
  <c r="D103" i="25"/>
  <c r="B104" i="25"/>
  <c r="D104" i="25"/>
  <c r="B105" i="25"/>
  <c r="D105" i="25"/>
  <c r="B106" i="25"/>
  <c r="D106" i="25"/>
  <c r="B107" i="25"/>
  <c r="D107" i="25"/>
  <c r="B108" i="25"/>
  <c r="D108" i="25"/>
  <c r="B109" i="25"/>
  <c r="D109" i="25"/>
  <c r="B110" i="25"/>
  <c r="D110" i="25"/>
  <c r="B111" i="25"/>
  <c r="D111" i="25"/>
  <c r="B112" i="25"/>
  <c r="D112" i="25"/>
  <c r="B113" i="25"/>
  <c r="D113" i="25"/>
  <c r="B114" i="25"/>
  <c r="D114" i="25"/>
  <c r="B115" i="25"/>
  <c r="D115" i="25"/>
  <c r="B116" i="25"/>
  <c r="D116" i="25"/>
  <c r="B117" i="25"/>
  <c r="D117" i="25"/>
  <c r="B118" i="25"/>
  <c r="D118" i="25"/>
  <c r="B119" i="25"/>
  <c r="D119" i="25"/>
  <c r="B120" i="25"/>
  <c r="D120" i="25"/>
  <c r="B121" i="25"/>
  <c r="D121" i="25"/>
  <c r="B122" i="25"/>
  <c r="D122" i="25"/>
  <c r="B123" i="25"/>
  <c r="D123" i="25"/>
  <c r="B124" i="25"/>
  <c r="D124" i="25"/>
  <c r="B125" i="25"/>
  <c r="D125" i="25"/>
  <c r="B126" i="25"/>
  <c r="D126" i="25"/>
  <c r="B127" i="25"/>
  <c r="D127" i="25"/>
  <c r="B128" i="25"/>
  <c r="D128" i="25"/>
  <c r="B129" i="25"/>
  <c r="D129" i="25"/>
  <c r="B130" i="25"/>
  <c r="D130" i="25"/>
  <c r="B131" i="25"/>
  <c r="D131" i="25"/>
  <c r="B132" i="25"/>
  <c r="D132" i="25"/>
  <c r="B133" i="25"/>
  <c r="D133" i="25"/>
  <c r="B134" i="25"/>
  <c r="D134" i="25"/>
  <c r="B135" i="25"/>
  <c r="D135" i="25"/>
  <c r="B136" i="25"/>
  <c r="D136" i="25"/>
  <c r="B137" i="25"/>
  <c r="D137" i="25"/>
  <c r="B138" i="25"/>
  <c r="D138" i="25"/>
  <c r="B139" i="25"/>
  <c r="D139" i="25"/>
  <c r="B140" i="25"/>
  <c r="D140" i="25"/>
  <c r="B141" i="25"/>
  <c r="D141" i="25"/>
  <c r="B142" i="25"/>
  <c r="D142" i="25"/>
  <c r="B143" i="25"/>
  <c r="D143" i="25"/>
  <c r="B144" i="25"/>
  <c r="D144" i="25"/>
  <c r="B145" i="25"/>
  <c r="D145" i="25"/>
  <c r="B146" i="25"/>
  <c r="D146" i="25"/>
  <c r="B147" i="25"/>
  <c r="D147" i="25"/>
  <c r="B148" i="25"/>
  <c r="D148" i="25"/>
  <c r="B149" i="25"/>
  <c r="D149" i="25"/>
  <c r="B150" i="25"/>
  <c r="D150" i="25"/>
  <c r="B151" i="25"/>
  <c r="D151" i="25"/>
  <c r="B152" i="25"/>
  <c r="D152" i="25"/>
  <c r="B153" i="25"/>
  <c r="D153" i="25"/>
  <c r="B154" i="25"/>
  <c r="D154" i="25"/>
  <c r="B155" i="25"/>
  <c r="D155" i="25"/>
  <c r="B156" i="25"/>
  <c r="D156" i="25"/>
  <c r="B157" i="25"/>
  <c r="D157" i="25"/>
  <c r="B158" i="25"/>
  <c r="D158" i="25"/>
  <c r="B159" i="25"/>
  <c r="D159" i="25"/>
  <c r="B160" i="25"/>
  <c r="D160" i="25"/>
  <c r="B161" i="25"/>
  <c r="D161" i="25"/>
  <c r="B162" i="25"/>
  <c r="D162" i="25"/>
  <c r="B163" i="25"/>
  <c r="D163" i="25"/>
  <c r="B164" i="25"/>
  <c r="D164" i="25"/>
  <c r="B165" i="25"/>
  <c r="D165" i="25"/>
  <c r="B166" i="25"/>
  <c r="D166" i="25"/>
  <c r="B167" i="25"/>
  <c r="D167" i="25"/>
  <c r="B168" i="25"/>
  <c r="D168" i="25"/>
  <c r="B169" i="25"/>
  <c r="D169" i="25"/>
  <c r="B170" i="25"/>
  <c r="D170" i="25"/>
  <c r="B171" i="25"/>
  <c r="D171" i="25"/>
  <c r="B172" i="25"/>
  <c r="D172" i="25"/>
  <c r="B173" i="25"/>
  <c r="D173" i="25"/>
  <c r="B174" i="25"/>
  <c r="D174" i="25"/>
  <c r="B175" i="25"/>
  <c r="D175" i="25"/>
  <c r="B176" i="25"/>
  <c r="D176" i="25"/>
  <c r="B177" i="25"/>
  <c r="D177" i="25"/>
  <c r="B178" i="25"/>
  <c r="D178" i="25"/>
  <c r="B179" i="25"/>
  <c r="D179" i="25"/>
  <c r="B180" i="25"/>
  <c r="D180" i="25"/>
  <c r="B181" i="25"/>
  <c r="D181" i="25"/>
  <c r="B182" i="25"/>
  <c r="D182" i="25"/>
  <c r="B183" i="25"/>
  <c r="D183" i="25"/>
  <c r="B184" i="25"/>
  <c r="D184" i="25"/>
  <c r="B185" i="25"/>
  <c r="D185" i="25"/>
  <c r="B186" i="25"/>
  <c r="D186" i="25"/>
  <c r="B187" i="25"/>
  <c r="D187" i="25"/>
  <c r="B188" i="25"/>
  <c r="D188" i="25"/>
  <c r="B189" i="25"/>
  <c r="D189" i="25"/>
  <c r="B190" i="25"/>
  <c r="D190" i="25"/>
  <c r="B191" i="25"/>
  <c r="D191" i="25"/>
  <c r="B192" i="25"/>
  <c r="D192" i="25"/>
  <c r="B193" i="25"/>
  <c r="D193" i="25"/>
  <c r="B194" i="25"/>
  <c r="D194" i="25"/>
  <c r="B195" i="25"/>
  <c r="D195" i="25"/>
  <c r="B196" i="25"/>
  <c r="D196" i="25"/>
  <c r="B197" i="25"/>
  <c r="D197" i="25"/>
  <c r="B198" i="25"/>
  <c r="D198" i="25"/>
  <c r="B199" i="25"/>
  <c r="D199" i="25"/>
  <c r="B200" i="25"/>
  <c r="D200" i="25"/>
  <c r="B201" i="25"/>
  <c r="D201" i="25"/>
  <c r="B202" i="25"/>
  <c r="D202" i="25"/>
  <c r="B203" i="25"/>
  <c r="D203" i="25"/>
  <c r="B204" i="25"/>
  <c r="D204" i="25"/>
  <c r="B205" i="25"/>
  <c r="D205" i="25"/>
  <c r="B206" i="25"/>
  <c r="D206" i="25"/>
  <c r="B207" i="25"/>
  <c r="D207" i="25"/>
  <c r="B208" i="25"/>
  <c r="D208" i="25"/>
  <c r="B209" i="25"/>
  <c r="D209" i="25"/>
  <c r="B210" i="25"/>
  <c r="D210" i="25"/>
  <c r="B211" i="25"/>
  <c r="D211" i="25"/>
  <c r="B212" i="25"/>
  <c r="D212" i="25"/>
  <c r="B213" i="25"/>
  <c r="D213" i="25"/>
  <c r="B214" i="25"/>
  <c r="D214" i="25"/>
  <c r="B215" i="25"/>
  <c r="D215" i="25"/>
  <c r="B216" i="25"/>
  <c r="D216" i="25"/>
  <c r="B217" i="25"/>
  <c r="D217" i="25"/>
  <c r="B218" i="25"/>
  <c r="D218" i="25"/>
  <c r="B219" i="25"/>
  <c r="D219" i="25"/>
  <c r="B220" i="25"/>
  <c r="D220" i="25"/>
  <c r="B221" i="25"/>
  <c r="D221" i="25"/>
  <c r="B222" i="25"/>
  <c r="D222" i="25"/>
  <c r="B223" i="25"/>
  <c r="D223" i="25"/>
  <c r="B224" i="25"/>
  <c r="D224" i="25"/>
  <c r="B225" i="25"/>
  <c r="D225" i="25"/>
  <c r="B226" i="25"/>
  <c r="D226" i="25"/>
  <c r="B227" i="25"/>
  <c r="D227" i="25"/>
  <c r="B228" i="25"/>
  <c r="D228" i="25"/>
  <c r="B229" i="25"/>
  <c r="D229" i="25"/>
  <c r="B230" i="25"/>
  <c r="D230" i="25"/>
  <c r="B231" i="25"/>
  <c r="D231" i="25"/>
  <c r="B232" i="25"/>
  <c r="D232" i="25"/>
  <c r="B233" i="25"/>
  <c r="D233" i="25"/>
  <c r="B234" i="25"/>
  <c r="D234" i="25"/>
  <c r="B235" i="25"/>
  <c r="D235" i="25"/>
  <c r="B236" i="25"/>
  <c r="D236" i="25"/>
  <c r="B237" i="25"/>
  <c r="D237" i="25"/>
  <c r="B238" i="25"/>
  <c r="D238" i="25"/>
  <c r="B239" i="25"/>
  <c r="D239" i="25"/>
  <c r="B240" i="25"/>
  <c r="D240" i="25"/>
  <c r="B241" i="25"/>
  <c r="D241" i="25"/>
  <c r="B242" i="25"/>
  <c r="D242" i="25"/>
  <c r="B243" i="25"/>
  <c r="D243" i="25"/>
  <c r="B244" i="25"/>
  <c r="D244" i="25"/>
  <c r="B245" i="25"/>
  <c r="D245" i="25"/>
  <c r="B246" i="25"/>
  <c r="D246" i="25"/>
  <c r="B247" i="25"/>
  <c r="D247" i="25"/>
  <c r="B248" i="25"/>
  <c r="D248" i="25"/>
  <c r="B249" i="25"/>
  <c r="D249" i="25"/>
  <c r="B250" i="25"/>
  <c r="D250" i="25"/>
  <c r="B251" i="25"/>
  <c r="D251" i="25"/>
  <c r="B252" i="25"/>
  <c r="D252" i="25"/>
  <c r="B253" i="25"/>
  <c r="D253" i="25"/>
  <c r="B254" i="25"/>
  <c r="D254" i="25"/>
  <c r="B255" i="25"/>
  <c r="D255" i="25"/>
  <c r="B256" i="25"/>
  <c r="D256" i="25"/>
  <c r="B257" i="25"/>
  <c r="D257" i="25"/>
  <c r="B258" i="25"/>
  <c r="D258" i="25"/>
  <c r="B259" i="25"/>
  <c r="D259" i="25"/>
  <c r="B260" i="25"/>
  <c r="D260" i="25"/>
  <c r="B261" i="25"/>
  <c r="D261" i="25"/>
  <c r="B262" i="25"/>
  <c r="D262" i="25"/>
  <c r="B263" i="25"/>
  <c r="D263" i="25"/>
  <c r="B264" i="25"/>
  <c r="D264" i="25"/>
  <c r="B265" i="25"/>
  <c r="D265" i="25"/>
  <c r="B266" i="25"/>
  <c r="D266" i="25"/>
  <c r="B267" i="25"/>
  <c r="D267" i="25"/>
  <c r="B268" i="25"/>
  <c r="D268" i="25"/>
  <c r="B269" i="25"/>
  <c r="D269" i="25"/>
  <c r="B270" i="25"/>
  <c r="D270" i="25"/>
  <c r="B271" i="25"/>
  <c r="D271" i="25"/>
  <c r="B272" i="25"/>
  <c r="D272" i="25"/>
  <c r="B273" i="25"/>
  <c r="D273" i="25"/>
  <c r="B274" i="25"/>
  <c r="D274" i="25"/>
  <c r="B275" i="25"/>
  <c r="D275" i="25"/>
  <c r="B276" i="25"/>
  <c r="D276" i="25"/>
  <c r="B277" i="25"/>
  <c r="D277" i="25"/>
  <c r="B278" i="25"/>
  <c r="D278" i="25"/>
  <c r="B279" i="25"/>
  <c r="D279" i="25"/>
  <c r="B280" i="25"/>
  <c r="D280" i="25"/>
  <c r="B281" i="25"/>
  <c r="D281" i="25"/>
  <c r="B282" i="25"/>
  <c r="D282" i="25"/>
  <c r="B283" i="25"/>
  <c r="D283" i="25"/>
  <c r="B284" i="25"/>
  <c r="D284" i="25"/>
  <c r="B285" i="25"/>
  <c r="D285" i="25"/>
  <c r="B286" i="25"/>
  <c r="D286" i="25"/>
  <c r="B287" i="25"/>
  <c r="D287" i="25"/>
  <c r="B288" i="25"/>
  <c r="D288" i="25"/>
  <c r="B289" i="25"/>
  <c r="D289" i="25"/>
  <c r="B290" i="25"/>
  <c r="D290" i="25"/>
  <c r="B291" i="25"/>
  <c r="D291" i="25"/>
  <c r="B292" i="25"/>
  <c r="D292" i="25"/>
  <c r="B293" i="25"/>
  <c r="D293" i="25"/>
  <c r="B294" i="25"/>
  <c r="D294" i="25"/>
  <c r="B295" i="25"/>
  <c r="D295" i="25"/>
  <c r="B296" i="25"/>
  <c r="D296" i="25"/>
  <c r="B297" i="25"/>
  <c r="D297" i="25"/>
  <c r="B298" i="25"/>
  <c r="D298" i="25"/>
  <c r="B299" i="25"/>
  <c r="D299" i="25"/>
  <c r="B300" i="25"/>
  <c r="D300" i="25"/>
  <c r="B301" i="25"/>
  <c r="D301" i="25"/>
  <c r="B302" i="25"/>
  <c r="D302" i="25"/>
  <c r="B303" i="25"/>
  <c r="D303" i="25"/>
  <c r="B304" i="25"/>
  <c r="D304" i="25"/>
  <c r="B305" i="25"/>
  <c r="D305" i="25"/>
  <c r="B306" i="25"/>
  <c r="D306" i="25"/>
  <c r="B307" i="25"/>
  <c r="D307" i="25"/>
  <c r="B308" i="25"/>
  <c r="D308" i="25"/>
  <c r="B309" i="25"/>
  <c r="D309" i="25"/>
  <c r="B310" i="25"/>
  <c r="D310" i="25"/>
  <c r="B311" i="25"/>
  <c r="D311" i="25"/>
  <c r="B312" i="25"/>
  <c r="D312" i="25"/>
  <c r="B313" i="25"/>
  <c r="D313" i="25"/>
  <c r="B314" i="25"/>
  <c r="D314" i="25"/>
  <c r="B315" i="25"/>
  <c r="D315" i="25"/>
  <c r="B316" i="25"/>
  <c r="D316" i="25"/>
  <c r="B317" i="25"/>
  <c r="D317" i="25"/>
  <c r="B318" i="25"/>
  <c r="D318" i="25"/>
  <c r="B319" i="25"/>
  <c r="D319" i="25"/>
  <c r="B320" i="25"/>
  <c r="D320" i="25"/>
  <c r="B321" i="25"/>
  <c r="D321" i="25"/>
  <c r="B322" i="25"/>
  <c r="D322" i="25"/>
  <c r="B323" i="25"/>
  <c r="D323" i="25"/>
  <c r="B324" i="25"/>
  <c r="D324" i="25"/>
  <c r="B325" i="25"/>
  <c r="D325" i="25"/>
  <c r="B326" i="25"/>
  <c r="D326" i="25"/>
  <c r="B327" i="25"/>
  <c r="D327" i="25"/>
  <c r="B328" i="25"/>
  <c r="D328" i="25"/>
  <c r="B329" i="25"/>
  <c r="D329" i="25"/>
  <c r="B330" i="25"/>
  <c r="D330" i="25"/>
  <c r="B331" i="25"/>
  <c r="D331" i="25"/>
  <c r="B332" i="25"/>
  <c r="D332" i="25"/>
  <c r="B333" i="25"/>
  <c r="D333" i="25"/>
  <c r="B334" i="25"/>
  <c r="D334" i="25"/>
  <c r="B335" i="25"/>
  <c r="D335" i="25"/>
  <c r="B336" i="25"/>
  <c r="D336" i="25"/>
  <c r="B337" i="25"/>
  <c r="D337" i="25"/>
  <c r="B338" i="25"/>
  <c r="D338" i="25"/>
  <c r="B339" i="25"/>
  <c r="D339" i="25"/>
  <c r="B340" i="25"/>
  <c r="D340" i="25"/>
  <c r="B341" i="25"/>
  <c r="D341" i="25"/>
  <c r="B342" i="25"/>
  <c r="D342" i="25"/>
  <c r="B343" i="25"/>
  <c r="D343" i="25"/>
  <c r="B344" i="25"/>
  <c r="D344" i="25"/>
  <c r="B345" i="25"/>
  <c r="D345" i="25"/>
  <c r="B346" i="25"/>
  <c r="D346" i="25"/>
  <c r="B347" i="25"/>
  <c r="D347" i="25"/>
  <c r="B348" i="25"/>
  <c r="D348" i="25"/>
  <c r="B349" i="25"/>
  <c r="D349" i="25"/>
  <c r="B350" i="25"/>
  <c r="D350" i="25"/>
  <c r="B351" i="25"/>
  <c r="D351" i="25"/>
  <c r="B352" i="25"/>
  <c r="D352" i="25"/>
  <c r="B353" i="25"/>
  <c r="D353" i="25"/>
  <c r="B354" i="25"/>
  <c r="D354" i="25"/>
  <c r="B355" i="25"/>
  <c r="D355" i="25"/>
  <c r="B356" i="25"/>
  <c r="D356" i="25"/>
  <c r="B357" i="25"/>
  <c r="D357" i="25"/>
  <c r="B358" i="25"/>
  <c r="D358" i="25"/>
  <c r="B359" i="25"/>
  <c r="D359" i="25"/>
  <c r="B360" i="25"/>
  <c r="D360" i="25"/>
  <c r="B361" i="25"/>
  <c r="D361" i="25"/>
  <c r="B362" i="25"/>
  <c r="D362" i="25"/>
  <c r="B363" i="25"/>
  <c r="D363" i="25"/>
  <c r="B364" i="25"/>
  <c r="D364" i="25"/>
  <c r="B365" i="25"/>
  <c r="D365" i="25"/>
  <c r="B366" i="25"/>
  <c r="D366" i="25"/>
  <c r="B367" i="25"/>
  <c r="D367" i="25"/>
  <c r="B368" i="25"/>
  <c r="D368" i="25"/>
  <c r="B369" i="25"/>
  <c r="D369" i="25"/>
  <c r="B370" i="25"/>
  <c r="D370" i="25"/>
  <c r="B371" i="25"/>
  <c r="D371" i="25"/>
  <c r="B372" i="25"/>
  <c r="D372" i="25"/>
  <c r="B373" i="25"/>
  <c r="D373" i="25"/>
  <c r="B374" i="25"/>
  <c r="D374" i="25"/>
  <c r="B375" i="25"/>
  <c r="D375" i="25"/>
  <c r="B376" i="25"/>
  <c r="D376" i="25"/>
  <c r="B377" i="25"/>
  <c r="D377" i="25"/>
  <c r="B378" i="25"/>
  <c r="D378" i="25"/>
  <c r="B379" i="25"/>
  <c r="D379" i="25"/>
  <c r="B380" i="25"/>
  <c r="D380" i="25"/>
  <c r="B381" i="25"/>
  <c r="D381" i="25"/>
  <c r="B382" i="25"/>
  <c r="D382" i="25"/>
  <c r="B383" i="25"/>
  <c r="D383" i="25"/>
  <c r="B384" i="25"/>
  <c r="D384" i="25"/>
  <c r="B385" i="25"/>
  <c r="D385" i="25"/>
  <c r="B386" i="25"/>
  <c r="D386" i="25"/>
  <c r="B387" i="25"/>
  <c r="D387" i="25"/>
  <c r="B388" i="25"/>
  <c r="D388" i="25"/>
  <c r="B389" i="25"/>
  <c r="D389" i="25"/>
  <c r="B390" i="25"/>
  <c r="D390" i="25"/>
  <c r="B391" i="25"/>
  <c r="D391" i="25"/>
  <c r="B392" i="25"/>
  <c r="D392" i="25"/>
  <c r="B393" i="25"/>
  <c r="D393" i="25"/>
  <c r="B394" i="25"/>
  <c r="D394" i="25"/>
  <c r="B395" i="25"/>
  <c r="D395" i="25"/>
  <c r="B396" i="25"/>
  <c r="D396" i="25"/>
  <c r="B397" i="25"/>
  <c r="D397" i="25"/>
  <c r="B398" i="25"/>
  <c r="D398" i="25"/>
  <c r="B399" i="25"/>
  <c r="D399" i="25"/>
  <c r="B400" i="25"/>
  <c r="D400" i="25"/>
  <c r="B401" i="25"/>
  <c r="D401" i="25"/>
  <c r="B402" i="25"/>
  <c r="D402" i="25"/>
  <c r="B403" i="25"/>
  <c r="D403" i="25"/>
  <c r="B404" i="25"/>
  <c r="D404" i="25"/>
  <c r="B405" i="25"/>
  <c r="D405" i="25"/>
  <c r="B406" i="25"/>
  <c r="D406" i="25"/>
  <c r="B407" i="25"/>
  <c r="D407" i="25"/>
  <c r="B408" i="25"/>
  <c r="D408" i="25"/>
  <c r="B409" i="25"/>
  <c r="D409" i="25"/>
  <c r="B410" i="25"/>
  <c r="D410" i="25"/>
  <c r="B411" i="25"/>
  <c r="D411" i="25"/>
  <c r="B412" i="25"/>
  <c r="D412" i="25"/>
  <c r="B413" i="25"/>
  <c r="D413" i="25"/>
  <c r="B414" i="25"/>
  <c r="D414" i="25"/>
  <c r="B415" i="25"/>
  <c r="D415" i="25"/>
  <c r="B416" i="25"/>
  <c r="D416" i="25"/>
  <c r="B417" i="25"/>
  <c r="D417" i="25"/>
  <c r="B418" i="25"/>
  <c r="D418" i="25"/>
  <c r="B419" i="25"/>
  <c r="D419" i="25"/>
  <c r="B420" i="25"/>
  <c r="D420" i="25"/>
  <c r="B421" i="25"/>
  <c r="D421" i="25"/>
  <c r="B422" i="25"/>
  <c r="D422" i="25"/>
  <c r="B423" i="25"/>
  <c r="D423" i="25"/>
  <c r="B424" i="25"/>
  <c r="D424" i="25"/>
  <c r="B425" i="25"/>
  <c r="D425" i="25"/>
  <c r="B426" i="25"/>
  <c r="D426" i="25"/>
  <c r="B427" i="25"/>
  <c r="D427" i="25"/>
  <c r="B428" i="25"/>
  <c r="D428" i="25"/>
  <c r="B429" i="25"/>
  <c r="D429" i="25"/>
  <c r="B430" i="25"/>
  <c r="D430" i="25"/>
  <c r="B431" i="25"/>
  <c r="D431" i="25"/>
  <c r="B432" i="25"/>
  <c r="D432" i="25"/>
  <c r="B433" i="25"/>
  <c r="D433" i="25"/>
  <c r="B434" i="25"/>
  <c r="D434" i="25"/>
  <c r="B435" i="25"/>
  <c r="D435" i="25"/>
  <c r="B436" i="25"/>
  <c r="D436" i="25"/>
  <c r="B437" i="25"/>
  <c r="D437" i="25"/>
  <c r="B438" i="25"/>
  <c r="D438" i="25"/>
  <c r="B439" i="25"/>
  <c r="D439" i="25"/>
  <c r="B440" i="25"/>
  <c r="D440" i="25"/>
  <c r="B441" i="25"/>
  <c r="D441" i="25"/>
  <c r="B442" i="25"/>
  <c r="D442" i="25"/>
  <c r="B443" i="25"/>
  <c r="D443" i="25"/>
  <c r="B444" i="25"/>
  <c r="D444" i="25"/>
  <c r="B445" i="25"/>
  <c r="D445" i="25"/>
  <c r="B446" i="25"/>
  <c r="D446" i="25"/>
  <c r="B447" i="25"/>
  <c r="D447" i="25"/>
  <c r="B448" i="25"/>
  <c r="D448" i="25"/>
  <c r="B449" i="25"/>
  <c r="D449" i="25"/>
  <c r="B450" i="25"/>
  <c r="D450" i="25"/>
  <c r="B451" i="25"/>
  <c r="D451" i="25"/>
  <c r="B452" i="25"/>
  <c r="D452" i="25"/>
  <c r="B453" i="25"/>
  <c r="D453" i="25"/>
  <c r="B454" i="25"/>
  <c r="D454" i="25"/>
  <c r="B455" i="25"/>
  <c r="D455" i="25"/>
  <c r="B456" i="25"/>
  <c r="D456" i="25"/>
  <c r="B457" i="25"/>
  <c r="D457" i="25"/>
  <c r="B458" i="25"/>
  <c r="D458" i="25"/>
  <c r="B459" i="25"/>
  <c r="D459" i="25"/>
  <c r="B460" i="25"/>
  <c r="D460" i="25"/>
  <c r="B461" i="25"/>
  <c r="D461" i="25"/>
  <c r="B462" i="25"/>
  <c r="D462" i="25"/>
  <c r="B463" i="25"/>
  <c r="D463" i="25"/>
  <c r="B464" i="25"/>
  <c r="D464" i="25"/>
  <c r="B465" i="25"/>
  <c r="D465" i="25"/>
  <c r="B466" i="25"/>
  <c r="D466" i="25"/>
  <c r="B467" i="25"/>
  <c r="D467" i="25"/>
  <c r="B468" i="25"/>
  <c r="D468" i="25"/>
  <c r="B469" i="25"/>
  <c r="D469" i="25"/>
  <c r="B470" i="25"/>
  <c r="D470" i="25"/>
  <c r="B471" i="25"/>
  <c r="D471" i="25"/>
  <c r="B472" i="25"/>
  <c r="D472" i="25"/>
  <c r="B473" i="25"/>
  <c r="D473" i="25"/>
  <c r="B474" i="25"/>
  <c r="D474" i="25"/>
  <c r="B475" i="25"/>
  <c r="D475" i="25"/>
  <c r="B476" i="25"/>
  <c r="D476" i="25"/>
  <c r="B477" i="25"/>
  <c r="D477" i="25"/>
  <c r="B478" i="25"/>
  <c r="D478" i="25"/>
  <c r="B479" i="25"/>
  <c r="D479" i="25"/>
  <c r="B480" i="25"/>
  <c r="D480" i="25"/>
  <c r="B481" i="25"/>
  <c r="D481" i="25"/>
  <c r="B482" i="25"/>
  <c r="D482" i="25"/>
  <c r="B483" i="25"/>
  <c r="D483" i="25"/>
  <c r="B484" i="25"/>
  <c r="D484" i="25"/>
  <c r="B485" i="25"/>
  <c r="D485" i="25"/>
  <c r="B486" i="25"/>
  <c r="D486" i="25"/>
  <c r="B487" i="25"/>
  <c r="D487" i="25"/>
  <c r="B488" i="25"/>
  <c r="D488" i="25"/>
  <c r="B489" i="25"/>
  <c r="D489" i="25"/>
  <c r="B490" i="25"/>
  <c r="D490" i="25"/>
  <c r="B491" i="25"/>
  <c r="D491" i="25"/>
  <c r="B492" i="25"/>
  <c r="D492" i="25"/>
  <c r="B493" i="25"/>
  <c r="D493" i="25"/>
  <c r="B494" i="25"/>
  <c r="D494" i="25"/>
  <c r="B495" i="25"/>
  <c r="D495" i="25"/>
  <c r="B496" i="25"/>
  <c r="D496" i="25"/>
  <c r="B497" i="25"/>
  <c r="D497" i="25"/>
  <c r="B498" i="25"/>
  <c r="D498" i="25"/>
  <c r="B499" i="25"/>
  <c r="D499" i="25"/>
  <c r="B500" i="25"/>
  <c r="D500" i="25"/>
  <c r="B501" i="25"/>
  <c r="D501" i="25"/>
  <c r="D3" i="25"/>
  <c r="B3" i="25"/>
  <c r="A4" i="4"/>
  <c r="B4" i="4"/>
  <c r="C4" i="4"/>
  <c r="D4" i="4"/>
  <c r="F4" i="4"/>
  <c r="A5" i="4"/>
  <c r="B5" i="4"/>
  <c r="C5" i="4"/>
  <c r="D5" i="4"/>
  <c r="F5" i="4"/>
  <c r="A6" i="4"/>
  <c r="B6" i="4"/>
  <c r="C6" i="4"/>
  <c r="D6" i="4"/>
  <c r="F6" i="4"/>
  <c r="A7" i="4"/>
  <c r="B7" i="4"/>
  <c r="C7" i="4"/>
  <c r="D7" i="4"/>
  <c r="F7" i="4"/>
  <c r="A8" i="4"/>
  <c r="B8" i="4"/>
  <c r="C8" i="4"/>
  <c r="D8" i="4"/>
  <c r="F8" i="4"/>
  <c r="A9" i="4"/>
  <c r="B9" i="4"/>
  <c r="C9" i="4"/>
  <c r="D9" i="4"/>
  <c r="F9" i="4"/>
  <c r="A10" i="4"/>
  <c r="B10" i="4"/>
  <c r="C10" i="4"/>
  <c r="D10" i="4"/>
  <c r="F10" i="4"/>
  <c r="A11" i="4"/>
  <c r="B11" i="4"/>
  <c r="C11" i="4"/>
  <c r="D11" i="4"/>
  <c r="F11" i="4"/>
  <c r="A12" i="4"/>
  <c r="B12" i="4"/>
  <c r="C12" i="4"/>
  <c r="D12" i="4"/>
  <c r="F12" i="4"/>
  <c r="A13" i="4"/>
  <c r="B13" i="4"/>
  <c r="C13" i="4"/>
  <c r="D13" i="4"/>
  <c r="F13" i="4"/>
  <c r="A14" i="4"/>
  <c r="B14" i="4"/>
  <c r="C14" i="4"/>
  <c r="D14" i="4"/>
  <c r="F14" i="4"/>
  <c r="A15" i="4"/>
  <c r="B15" i="4"/>
  <c r="C15" i="4"/>
  <c r="D15" i="4"/>
  <c r="F15" i="4"/>
  <c r="A16" i="4"/>
  <c r="B16" i="4"/>
  <c r="C16" i="4"/>
  <c r="D16" i="4"/>
  <c r="F16" i="4"/>
  <c r="A17" i="4"/>
  <c r="B17" i="4"/>
  <c r="C17" i="4"/>
  <c r="D17" i="4"/>
  <c r="F17" i="4"/>
  <c r="A18" i="4"/>
  <c r="B18" i="4"/>
  <c r="C18" i="4"/>
  <c r="D18" i="4"/>
  <c r="F18" i="4"/>
  <c r="A19" i="4"/>
  <c r="B19" i="4"/>
  <c r="C19" i="4"/>
  <c r="D19" i="4"/>
  <c r="F19" i="4"/>
  <c r="A20" i="4"/>
  <c r="B20" i="4"/>
  <c r="C20" i="4"/>
  <c r="D20" i="4"/>
  <c r="F20" i="4"/>
  <c r="A21" i="4"/>
  <c r="B21" i="4"/>
  <c r="C21" i="4"/>
  <c r="D21" i="4"/>
  <c r="F21" i="4"/>
  <c r="A22" i="4"/>
  <c r="B22" i="4"/>
  <c r="C22" i="4"/>
  <c r="D22" i="4"/>
  <c r="F22" i="4"/>
  <c r="A23" i="4"/>
  <c r="B23" i="4"/>
  <c r="C23" i="4"/>
  <c r="D23" i="4"/>
  <c r="F23" i="4"/>
  <c r="A24" i="4"/>
  <c r="B24" i="4"/>
  <c r="C24" i="4"/>
  <c r="D24" i="4"/>
  <c r="F24" i="4"/>
  <c r="A25" i="4"/>
  <c r="B25" i="4"/>
  <c r="C25" i="4"/>
  <c r="D25" i="4"/>
  <c r="F25" i="4"/>
  <c r="A26" i="4"/>
  <c r="B26" i="4"/>
  <c r="C26" i="4"/>
  <c r="D26" i="4"/>
  <c r="F26" i="4"/>
  <c r="A27" i="4"/>
  <c r="B27" i="4"/>
  <c r="C27" i="4"/>
  <c r="D27" i="4"/>
  <c r="F27" i="4"/>
  <c r="A28" i="4"/>
  <c r="B28" i="4"/>
  <c r="C28" i="4"/>
  <c r="D28" i="4"/>
  <c r="F28" i="4"/>
  <c r="A29" i="4"/>
  <c r="B29" i="4"/>
  <c r="C29" i="4"/>
  <c r="D29" i="4"/>
  <c r="F29" i="4"/>
  <c r="A30" i="4"/>
  <c r="B30" i="4"/>
  <c r="C30" i="4"/>
  <c r="D30" i="4"/>
  <c r="F30" i="4"/>
  <c r="A31" i="4"/>
  <c r="B31" i="4"/>
  <c r="C31" i="4"/>
  <c r="D31" i="4"/>
  <c r="F31" i="4"/>
  <c r="A32" i="4"/>
  <c r="B32" i="4"/>
  <c r="C32" i="4"/>
  <c r="D32" i="4"/>
  <c r="F32" i="4"/>
  <c r="A33" i="4"/>
  <c r="B33" i="4"/>
  <c r="C33" i="4"/>
  <c r="D33" i="4"/>
  <c r="F33" i="4"/>
  <c r="A34" i="4"/>
  <c r="B34" i="4"/>
  <c r="C34" i="4"/>
  <c r="D34" i="4"/>
  <c r="F34" i="4"/>
  <c r="A35" i="4"/>
  <c r="B35" i="4"/>
  <c r="C35" i="4"/>
  <c r="D35" i="4"/>
  <c r="F35" i="4"/>
  <c r="A36" i="4"/>
  <c r="B36" i="4"/>
  <c r="C36" i="4"/>
  <c r="D36" i="4"/>
  <c r="F36" i="4"/>
  <c r="A37" i="4"/>
  <c r="B37" i="4"/>
  <c r="C37" i="4"/>
  <c r="D37" i="4"/>
  <c r="F37" i="4"/>
  <c r="A38" i="4"/>
  <c r="B38" i="4"/>
  <c r="C38" i="4"/>
  <c r="D38" i="4"/>
  <c r="F38" i="4"/>
  <c r="A39" i="4"/>
  <c r="B39" i="4"/>
  <c r="C39" i="4"/>
  <c r="D39" i="4"/>
  <c r="F39" i="4"/>
  <c r="A40" i="4"/>
  <c r="B40" i="4"/>
  <c r="C40" i="4"/>
  <c r="D40" i="4"/>
  <c r="F40" i="4"/>
  <c r="A41" i="4"/>
  <c r="B41" i="4"/>
  <c r="C41" i="4"/>
  <c r="D41" i="4"/>
  <c r="F41" i="4"/>
  <c r="A42" i="4"/>
  <c r="B42" i="4"/>
  <c r="C42" i="4"/>
  <c r="D42" i="4"/>
  <c r="F42" i="4"/>
  <c r="A43" i="4"/>
  <c r="B43" i="4"/>
  <c r="C43" i="4"/>
  <c r="D43" i="4"/>
  <c r="F43" i="4"/>
  <c r="A44" i="4"/>
  <c r="B44" i="4"/>
  <c r="C44" i="4"/>
  <c r="D44" i="4"/>
  <c r="F44" i="4"/>
  <c r="A45" i="4"/>
  <c r="B45" i="4"/>
  <c r="C45" i="4"/>
  <c r="D45" i="4"/>
  <c r="F45" i="4"/>
  <c r="A46" i="4"/>
  <c r="B46" i="4"/>
  <c r="C46" i="4"/>
  <c r="D46" i="4"/>
  <c r="F46" i="4"/>
  <c r="A47" i="4"/>
  <c r="B47" i="4"/>
  <c r="C47" i="4"/>
  <c r="D47" i="4"/>
  <c r="F47" i="4"/>
  <c r="A48" i="4"/>
  <c r="B48" i="4"/>
  <c r="C48" i="4"/>
  <c r="D48" i="4"/>
  <c r="F48" i="4"/>
  <c r="A49" i="4"/>
  <c r="B49" i="4"/>
  <c r="C49" i="4"/>
  <c r="D49" i="4"/>
  <c r="F49" i="4"/>
  <c r="A50" i="4"/>
  <c r="B50" i="4"/>
  <c r="C50" i="4"/>
  <c r="D50" i="4"/>
  <c r="F50" i="4"/>
  <c r="A51" i="4"/>
  <c r="B51" i="4"/>
  <c r="C51" i="4"/>
  <c r="D51" i="4"/>
  <c r="F51" i="4"/>
  <c r="A52" i="4"/>
  <c r="B52" i="4"/>
  <c r="C52" i="4"/>
  <c r="D52" i="4"/>
  <c r="F52" i="4"/>
  <c r="A53" i="4"/>
  <c r="B53" i="4"/>
  <c r="C53" i="4"/>
  <c r="D53" i="4"/>
  <c r="F53" i="4"/>
  <c r="A54" i="4"/>
  <c r="B54" i="4"/>
  <c r="C54" i="4"/>
  <c r="D54" i="4"/>
  <c r="F54" i="4"/>
  <c r="A55" i="4"/>
  <c r="B55" i="4"/>
  <c r="C55" i="4"/>
  <c r="D55" i="4"/>
  <c r="F55" i="4"/>
  <c r="A56" i="4"/>
  <c r="B56" i="4"/>
  <c r="C56" i="4"/>
  <c r="D56" i="4"/>
  <c r="F56" i="4"/>
  <c r="A57" i="4"/>
  <c r="B57" i="4"/>
  <c r="C57" i="4"/>
  <c r="D57" i="4"/>
  <c r="F57" i="4"/>
  <c r="A58" i="4"/>
  <c r="B58" i="4"/>
  <c r="C58" i="4"/>
  <c r="D58" i="4"/>
  <c r="F58" i="4"/>
  <c r="A59" i="4"/>
  <c r="B59" i="4"/>
  <c r="C59" i="4"/>
  <c r="D59" i="4"/>
  <c r="F59" i="4"/>
  <c r="A60" i="4"/>
  <c r="B60" i="4"/>
  <c r="C60" i="4"/>
  <c r="D60" i="4"/>
  <c r="F60" i="4"/>
  <c r="A61" i="4"/>
  <c r="B61" i="4"/>
  <c r="C61" i="4"/>
  <c r="D61" i="4"/>
  <c r="F61" i="4"/>
  <c r="A62" i="4"/>
  <c r="B62" i="4"/>
  <c r="C62" i="4"/>
  <c r="D62" i="4"/>
  <c r="F62" i="4"/>
  <c r="A63" i="4"/>
  <c r="B63" i="4"/>
  <c r="C63" i="4"/>
  <c r="D63" i="4"/>
  <c r="F63" i="4"/>
  <c r="A64" i="4"/>
  <c r="B64" i="4"/>
  <c r="C64" i="4"/>
  <c r="D64" i="4"/>
  <c r="F64" i="4"/>
  <c r="A65" i="4"/>
  <c r="B65" i="4"/>
  <c r="C65" i="4"/>
  <c r="D65" i="4"/>
  <c r="F65" i="4"/>
  <c r="A66" i="4"/>
  <c r="B66" i="4"/>
  <c r="C66" i="4"/>
  <c r="D66" i="4"/>
  <c r="F66" i="4"/>
  <c r="A67" i="4"/>
  <c r="B67" i="4"/>
  <c r="C67" i="4"/>
  <c r="D67" i="4"/>
  <c r="F67" i="4"/>
  <c r="A68" i="4"/>
  <c r="B68" i="4"/>
  <c r="C68" i="4"/>
  <c r="D68" i="4"/>
  <c r="F68" i="4"/>
  <c r="A69" i="4"/>
  <c r="B69" i="4"/>
  <c r="C69" i="4"/>
  <c r="D69" i="4"/>
  <c r="F69" i="4"/>
  <c r="A70" i="4"/>
  <c r="B70" i="4"/>
  <c r="C70" i="4"/>
  <c r="D70" i="4"/>
  <c r="F70" i="4"/>
  <c r="A71" i="4"/>
  <c r="B71" i="4"/>
  <c r="C71" i="4"/>
  <c r="D71" i="4"/>
  <c r="F71" i="4"/>
  <c r="A72" i="4"/>
  <c r="B72" i="4"/>
  <c r="C72" i="4"/>
  <c r="D72" i="4"/>
  <c r="F72" i="4"/>
  <c r="A73" i="4"/>
  <c r="B73" i="4"/>
  <c r="C73" i="4"/>
  <c r="D73" i="4"/>
  <c r="F73" i="4"/>
  <c r="A74" i="4"/>
  <c r="B74" i="4"/>
  <c r="C74" i="4"/>
  <c r="D74" i="4"/>
  <c r="F74" i="4"/>
  <c r="A75" i="4"/>
  <c r="B75" i="4"/>
  <c r="C75" i="4"/>
  <c r="D75" i="4"/>
  <c r="F75" i="4"/>
  <c r="A76" i="4"/>
  <c r="B76" i="4"/>
  <c r="C76" i="4"/>
  <c r="D76" i="4"/>
  <c r="F76" i="4"/>
  <c r="A77" i="4"/>
  <c r="B77" i="4"/>
  <c r="C77" i="4"/>
  <c r="D77" i="4"/>
  <c r="F77" i="4"/>
  <c r="A78" i="4"/>
  <c r="B78" i="4"/>
  <c r="C78" i="4"/>
  <c r="D78" i="4"/>
  <c r="F78" i="4"/>
  <c r="A79" i="4"/>
  <c r="B79" i="4"/>
  <c r="C79" i="4"/>
  <c r="D79" i="4"/>
  <c r="F79" i="4"/>
  <c r="A80" i="4"/>
  <c r="B80" i="4"/>
  <c r="C80" i="4"/>
  <c r="D80" i="4"/>
  <c r="F80" i="4"/>
  <c r="A81" i="4"/>
  <c r="B81" i="4"/>
  <c r="C81" i="4"/>
  <c r="D81" i="4"/>
  <c r="F81" i="4"/>
  <c r="A82" i="4"/>
  <c r="B82" i="4"/>
  <c r="C82" i="4"/>
  <c r="D82" i="4"/>
  <c r="F82" i="4"/>
  <c r="A83" i="4"/>
  <c r="B83" i="4"/>
  <c r="C83" i="4"/>
  <c r="D83" i="4"/>
  <c r="F83" i="4"/>
  <c r="A84" i="4"/>
  <c r="B84" i="4"/>
  <c r="C84" i="4"/>
  <c r="D84" i="4"/>
  <c r="F84" i="4"/>
  <c r="A85" i="4"/>
  <c r="B85" i="4"/>
  <c r="C85" i="4"/>
  <c r="D85" i="4"/>
  <c r="F85" i="4"/>
  <c r="A86" i="4"/>
  <c r="B86" i="4"/>
  <c r="C86" i="4"/>
  <c r="D86" i="4"/>
  <c r="F86" i="4"/>
  <c r="A87" i="4"/>
  <c r="B87" i="4"/>
  <c r="C87" i="4"/>
  <c r="D87" i="4"/>
  <c r="F87" i="4"/>
  <c r="A88" i="4"/>
  <c r="B88" i="4"/>
  <c r="C88" i="4"/>
  <c r="D88" i="4"/>
  <c r="F88" i="4"/>
  <c r="A89" i="4"/>
  <c r="B89" i="4"/>
  <c r="C89" i="4"/>
  <c r="D89" i="4"/>
  <c r="F89" i="4"/>
  <c r="A90" i="4"/>
  <c r="B90" i="4"/>
  <c r="C90" i="4"/>
  <c r="D90" i="4"/>
  <c r="F90" i="4"/>
  <c r="A91" i="4"/>
  <c r="B91" i="4"/>
  <c r="C91" i="4"/>
  <c r="D91" i="4"/>
  <c r="F91" i="4"/>
  <c r="A92" i="4"/>
  <c r="B92" i="4"/>
  <c r="C92" i="4"/>
  <c r="D92" i="4"/>
  <c r="F92" i="4"/>
  <c r="A93" i="4"/>
  <c r="B93" i="4"/>
  <c r="C93" i="4"/>
  <c r="D93" i="4"/>
  <c r="F93" i="4"/>
  <c r="A94" i="4"/>
  <c r="B94" i="4"/>
  <c r="C94" i="4"/>
  <c r="D94" i="4"/>
  <c r="F94" i="4"/>
  <c r="A95" i="4"/>
  <c r="B95" i="4"/>
  <c r="C95" i="4"/>
  <c r="D95" i="4"/>
  <c r="F95" i="4"/>
  <c r="A96" i="4"/>
  <c r="B96" i="4"/>
  <c r="C96" i="4"/>
  <c r="D96" i="4"/>
  <c r="F96" i="4"/>
  <c r="A97" i="4"/>
  <c r="B97" i="4"/>
  <c r="C97" i="4"/>
  <c r="D97" i="4"/>
  <c r="F97" i="4"/>
  <c r="A98" i="4"/>
  <c r="B98" i="4"/>
  <c r="C98" i="4"/>
  <c r="D98" i="4"/>
  <c r="F98" i="4"/>
  <c r="A99" i="4"/>
  <c r="B99" i="4"/>
  <c r="C99" i="4"/>
  <c r="D99" i="4"/>
  <c r="F99" i="4"/>
  <c r="A100" i="4"/>
  <c r="B100" i="4"/>
  <c r="C100" i="4"/>
  <c r="D100" i="4"/>
  <c r="F100" i="4"/>
  <c r="A101" i="4"/>
  <c r="B101" i="4"/>
  <c r="C101" i="4"/>
  <c r="D101" i="4"/>
  <c r="F101" i="4"/>
  <c r="A102" i="4"/>
  <c r="B102" i="4"/>
  <c r="C102" i="4"/>
  <c r="D102" i="4"/>
  <c r="F102" i="4"/>
  <c r="A103" i="4"/>
  <c r="B103" i="4"/>
  <c r="C103" i="4"/>
  <c r="D103" i="4"/>
  <c r="F103" i="4"/>
  <c r="A104" i="4"/>
  <c r="B104" i="4"/>
  <c r="C104" i="4"/>
  <c r="D104" i="4"/>
  <c r="F104" i="4"/>
  <c r="A105" i="4"/>
  <c r="B105" i="4"/>
  <c r="C105" i="4"/>
  <c r="D105" i="4"/>
  <c r="F105" i="4"/>
  <c r="A106" i="4"/>
  <c r="B106" i="4"/>
  <c r="C106" i="4"/>
  <c r="D106" i="4"/>
  <c r="F106" i="4"/>
  <c r="A107" i="4"/>
  <c r="B107" i="4"/>
  <c r="C107" i="4"/>
  <c r="D107" i="4"/>
  <c r="F107" i="4"/>
  <c r="A108" i="4"/>
  <c r="B108" i="4"/>
  <c r="C108" i="4"/>
  <c r="D108" i="4"/>
  <c r="F108" i="4"/>
  <c r="A109" i="4"/>
  <c r="B109" i="4"/>
  <c r="C109" i="4"/>
  <c r="D109" i="4"/>
  <c r="F109" i="4"/>
  <c r="A110" i="4"/>
  <c r="B110" i="4"/>
  <c r="C110" i="4"/>
  <c r="D110" i="4"/>
  <c r="F110" i="4"/>
  <c r="A111" i="4"/>
  <c r="B111" i="4"/>
  <c r="C111" i="4"/>
  <c r="D111" i="4"/>
  <c r="F111" i="4"/>
  <c r="A112" i="4"/>
  <c r="B112" i="4"/>
  <c r="C112" i="4"/>
  <c r="D112" i="4"/>
  <c r="F112" i="4"/>
  <c r="A113" i="4"/>
  <c r="B113" i="4"/>
  <c r="C113" i="4"/>
  <c r="D113" i="4"/>
  <c r="F113" i="4"/>
  <c r="A114" i="4"/>
  <c r="B114" i="4"/>
  <c r="C114" i="4"/>
  <c r="D114" i="4"/>
  <c r="F114" i="4"/>
  <c r="A115" i="4"/>
  <c r="B115" i="4"/>
  <c r="C115" i="4"/>
  <c r="D115" i="4"/>
  <c r="F115" i="4"/>
  <c r="A116" i="4"/>
  <c r="B116" i="4"/>
  <c r="C116" i="4"/>
  <c r="D116" i="4"/>
  <c r="F116" i="4"/>
  <c r="A117" i="4"/>
  <c r="B117" i="4"/>
  <c r="C117" i="4"/>
  <c r="D117" i="4"/>
  <c r="F117" i="4"/>
  <c r="A118" i="4"/>
  <c r="B118" i="4"/>
  <c r="C118" i="4"/>
  <c r="D118" i="4"/>
  <c r="F118" i="4"/>
  <c r="A119" i="4"/>
  <c r="B119" i="4"/>
  <c r="C119" i="4"/>
  <c r="D119" i="4"/>
  <c r="F119" i="4"/>
  <c r="A120" i="4"/>
  <c r="B120" i="4"/>
  <c r="C120" i="4"/>
  <c r="D120" i="4"/>
  <c r="F120" i="4"/>
  <c r="A121" i="4"/>
  <c r="B121" i="4"/>
  <c r="C121" i="4"/>
  <c r="D121" i="4"/>
  <c r="F121" i="4"/>
  <c r="A122" i="4"/>
  <c r="B122" i="4"/>
  <c r="C122" i="4"/>
  <c r="D122" i="4"/>
  <c r="F122" i="4"/>
  <c r="A123" i="4"/>
  <c r="B123" i="4"/>
  <c r="C123" i="4"/>
  <c r="D123" i="4"/>
  <c r="F123" i="4"/>
  <c r="A124" i="4"/>
  <c r="B124" i="4"/>
  <c r="C124" i="4"/>
  <c r="D124" i="4"/>
  <c r="F124" i="4"/>
  <c r="A125" i="4"/>
  <c r="B125" i="4"/>
  <c r="C125" i="4"/>
  <c r="D125" i="4"/>
  <c r="F125" i="4"/>
  <c r="A126" i="4"/>
  <c r="B126" i="4"/>
  <c r="C126" i="4"/>
  <c r="D126" i="4"/>
  <c r="F126" i="4"/>
  <c r="A127" i="4"/>
  <c r="B127" i="4"/>
  <c r="C127" i="4"/>
  <c r="D127" i="4"/>
  <c r="F127" i="4"/>
  <c r="A128" i="4"/>
  <c r="B128" i="4"/>
  <c r="C128" i="4"/>
  <c r="D128" i="4"/>
  <c r="F128" i="4"/>
  <c r="A129" i="4"/>
  <c r="B129" i="4"/>
  <c r="C129" i="4"/>
  <c r="D129" i="4"/>
  <c r="F129" i="4"/>
  <c r="A130" i="4"/>
  <c r="B130" i="4"/>
  <c r="C130" i="4"/>
  <c r="D130" i="4"/>
  <c r="F130" i="4"/>
  <c r="A131" i="4"/>
  <c r="B131" i="4"/>
  <c r="C131" i="4"/>
  <c r="D131" i="4"/>
  <c r="F131" i="4"/>
  <c r="A132" i="4"/>
  <c r="B132" i="4"/>
  <c r="C132" i="4"/>
  <c r="D132" i="4"/>
  <c r="F132" i="4"/>
  <c r="A133" i="4"/>
  <c r="B133" i="4"/>
  <c r="C133" i="4"/>
  <c r="D133" i="4"/>
  <c r="F133" i="4"/>
  <c r="A134" i="4"/>
  <c r="B134" i="4"/>
  <c r="C134" i="4"/>
  <c r="D134" i="4"/>
  <c r="F134" i="4"/>
  <c r="A135" i="4"/>
  <c r="B135" i="4"/>
  <c r="C135" i="4"/>
  <c r="D135" i="4"/>
  <c r="F135" i="4"/>
  <c r="A136" i="4"/>
  <c r="B136" i="4"/>
  <c r="C136" i="4"/>
  <c r="D136" i="4"/>
  <c r="F136" i="4"/>
  <c r="A137" i="4"/>
  <c r="B137" i="4"/>
  <c r="C137" i="4"/>
  <c r="D137" i="4"/>
  <c r="F137" i="4"/>
  <c r="A138" i="4"/>
  <c r="B138" i="4"/>
  <c r="C138" i="4"/>
  <c r="D138" i="4"/>
  <c r="F138" i="4"/>
  <c r="A139" i="4"/>
  <c r="B139" i="4"/>
  <c r="C139" i="4"/>
  <c r="D139" i="4"/>
  <c r="F139" i="4"/>
  <c r="A140" i="4"/>
  <c r="B140" i="4"/>
  <c r="C140" i="4"/>
  <c r="D140" i="4"/>
  <c r="F140" i="4"/>
  <c r="A141" i="4"/>
  <c r="B141" i="4"/>
  <c r="C141" i="4"/>
  <c r="D141" i="4"/>
  <c r="F141" i="4"/>
  <c r="A142" i="4"/>
  <c r="B142" i="4"/>
  <c r="C142" i="4"/>
  <c r="D142" i="4"/>
  <c r="F142" i="4"/>
  <c r="A143" i="4"/>
  <c r="B143" i="4"/>
  <c r="C143" i="4"/>
  <c r="D143" i="4"/>
  <c r="F143" i="4"/>
  <c r="A144" i="4"/>
  <c r="B144" i="4"/>
  <c r="C144" i="4"/>
  <c r="D144" i="4"/>
  <c r="F144" i="4"/>
  <c r="A145" i="4"/>
  <c r="B145" i="4"/>
  <c r="C145" i="4"/>
  <c r="D145" i="4"/>
  <c r="F145" i="4"/>
  <c r="A146" i="4"/>
  <c r="B146" i="4"/>
  <c r="C146" i="4"/>
  <c r="D146" i="4"/>
  <c r="F146" i="4"/>
  <c r="A147" i="4"/>
  <c r="B147" i="4"/>
  <c r="C147" i="4"/>
  <c r="D147" i="4"/>
  <c r="F147" i="4"/>
  <c r="A148" i="4"/>
  <c r="B148" i="4"/>
  <c r="C148" i="4"/>
  <c r="D148" i="4"/>
  <c r="F148" i="4"/>
  <c r="A149" i="4"/>
  <c r="B149" i="4"/>
  <c r="C149" i="4"/>
  <c r="D149" i="4"/>
  <c r="F149" i="4"/>
  <c r="A150" i="4"/>
  <c r="B150" i="4"/>
  <c r="C150" i="4"/>
  <c r="D150" i="4"/>
  <c r="F150" i="4"/>
  <c r="A151" i="4"/>
  <c r="B151" i="4"/>
  <c r="C151" i="4"/>
  <c r="D151" i="4"/>
  <c r="F151" i="4"/>
  <c r="A152" i="4"/>
  <c r="B152" i="4"/>
  <c r="C152" i="4"/>
  <c r="D152" i="4"/>
  <c r="F152" i="4"/>
  <c r="A153" i="4"/>
  <c r="B153" i="4"/>
  <c r="C153" i="4"/>
  <c r="D153" i="4"/>
  <c r="F153" i="4"/>
  <c r="A154" i="4"/>
  <c r="B154" i="4"/>
  <c r="C154" i="4"/>
  <c r="D154" i="4"/>
  <c r="F154" i="4"/>
  <c r="A155" i="4"/>
  <c r="B155" i="4"/>
  <c r="C155" i="4"/>
  <c r="D155" i="4"/>
  <c r="F155" i="4"/>
  <c r="A156" i="4"/>
  <c r="B156" i="4"/>
  <c r="C156" i="4"/>
  <c r="D156" i="4"/>
  <c r="F156" i="4"/>
  <c r="A157" i="4"/>
  <c r="B157" i="4"/>
  <c r="C157" i="4"/>
  <c r="D157" i="4"/>
  <c r="F157" i="4"/>
  <c r="A158" i="4"/>
  <c r="B158" i="4"/>
  <c r="C158" i="4"/>
  <c r="D158" i="4"/>
  <c r="F158" i="4"/>
  <c r="A159" i="4"/>
  <c r="B159" i="4"/>
  <c r="C159" i="4"/>
  <c r="D159" i="4"/>
  <c r="F159" i="4"/>
  <c r="A160" i="4"/>
  <c r="B160" i="4"/>
  <c r="C160" i="4"/>
  <c r="D160" i="4"/>
  <c r="F160" i="4"/>
  <c r="A161" i="4"/>
  <c r="B161" i="4"/>
  <c r="C161" i="4"/>
  <c r="D161" i="4"/>
  <c r="F161" i="4"/>
  <c r="A162" i="4"/>
  <c r="B162" i="4"/>
  <c r="C162" i="4"/>
  <c r="D162" i="4"/>
  <c r="F162" i="4"/>
  <c r="A163" i="4"/>
  <c r="B163" i="4"/>
  <c r="C163" i="4"/>
  <c r="D163" i="4"/>
  <c r="F163" i="4"/>
  <c r="A164" i="4"/>
  <c r="B164" i="4"/>
  <c r="C164" i="4"/>
  <c r="D164" i="4"/>
  <c r="F164" i="4"/>
  <c r="A165" i="4"/>
  <c r="B165" i="4"/>
  <c r="C165" i="4"/>
  <c r="D165" i="4"/>
  <c r="F165" i="4"/>
  <c r="A166" i="4"/>
  <c r="B166" i="4"/>
  <c r="C166" i="4"/>
  <c r="D166" i="4"/>
  <c r="F166" i="4"/>
  <c r="A167" i="4"/>
  <c r="B167" i="4"/>
  <c r="C167" i="4"/>
  <c r="D167" i="4"/>
  <c r="F167" i="4"/>
  <c r="A168" i="4"/>
  <c r="B168" i="4"/>
  <c r="C168" i="4"/>
  <c r="D168" i="4"/>
  <c r="F168" i="4"/>
  <c r="A169" i="4"/>
  <c r="B169" i="4"/>
  <c r="C169" i="4"/>
  <c r="D169" i="4"/>
  <c r="F169" i="4"/>
  <c r="A170" i="4"/>
  <c r="B170" i="4"/>
  <c r="C170" i="4"/>
  <c r="D170" i="4"/>
  <c r="F170" i="4"/>
  <c r="A171" i="4"/>
  <c r="B171" i="4"/>
  <c r="C171" i="4"/>
  <c r="D171" i="4"/>
  <c r="F171" i="4"/>
  <c r="A172" i="4"/>
  <c r="B172" i="4"/>
  <c r="C172" i="4"/>
  <c r="D172" i="4"/>
  <c r="F172" i="4"/>
  <c r="A173" i="4"/>
  <c r="B173" i="4"/>
  <c r="C173" i="4"/>
  <c r="D173" i="4"/>
  <c r="F173" i="4"/>
  <c r="A174" i="4"/>
  <c r="B174" i="4"/>
  <c r="C174" i="4"/>
  <c r="D174" i="4"/>
  <c r="F174" i="4"/>
  <c r="A175" i="4"/>
  <c r="B175" i="4"/>
  <c r="C175" i="4"/>
  <c r="D175" i="4"/>
  <c r="F175" i="4"/>
  <c r="A176" i="4"/>
  <c r="B176" i="4"/>
  <c r="C176" i="4"/>
  <c r="D176" i="4"/>
  <c r="F176" i="4"/>
  <c r="A177" i="4"/>
  <c r="B177" i="4"/>
  <c r="C177" i="4"/>
  <c r="D177" i="4"/>
  <c r="F177" i="4"/>
  <c r="A178" i="4"/>
  <c r="B178" i="4"/>
  <c r="C178" i="4"/>
  <c r="D178" i="4"/>
  <c r="F178" i="4"/>
  <c r="A179" i="4"/>
  <c r="B179" i="4"/>
  <c r="C179" i="4"/>
  <c r="D179" i="4"/>
  <c r="F179" i="4"/>
  <c r="A180" i="4"/>
  <c r="B180" i="4"/>
  <c r="C180" i="4"/>
  <c r="D180" i="4"/>
  <c r="F180" i="4"/>
  <c r="A181" i="4"/>
  <c r="B181" i="4"/>
  <c r="C181" i="4"/>
  <c r="D181" i="4"/>
  <c r="F181" i="4"/>
  <c r="A182" i="4"/>
  <c r="B182" i="4"/>
  <c r="C182" i="4"/>
  <c r="D182" i="4"/>
  <c r="F182" i="4"/>
  <c r="A183" i="4"/>
  <c r="B183" i="4"/>
  <c r="C183" i="4"/>
  <c r="D183" i="4"/>
  <c r="F183" i="4"/>
  <c r="A184" i="4"/>
  <c r="B184" i="4"/>
  <c r="C184" i="4"/>
  <c r="D184" i="4"/>
  <c r="F184" i="4"/>
  <c r="A185" i="4"/>
  <c r="B185" i="4"/>
  <c r="C185" i="4"/>
  <c r="D185" i="4"/>
  <c r="F185" i="4"/>
  <c r="A186" i="4"/>
  <c r="B186" i="4"/>
  <c r="C186" i="4"/>
  <c r="D186" i="4"/>
  <c r="F186" i="4"/>
  <c r="A187" i="4"/>
  <c r="B187" i="4"/>
  <c r="C187" i="4"/>
  <c r="D187" i="4"/>
  <c r="F187" i="4"/>
  <c r="A188" i="4"/>
  <c r="B188" i="4"/>
  <c r="C188" i="4"/>
  <c r="D188" i="4"/>
  <c r="F188" i="4"/>
  <c r="A189" i="4"/>
  <c r="B189" i="4"/>
  <c r="C189" i="4"/>
  <c r="D189" i="4"/>
  <c r="F189" i="4"/>
  <c r="A190" i="4"/>
  <c r="B190" i="4"/>
  <c r="C190" i="4"/>
  <c r="D190" i="4"/>
  <c r="F190" i="4"/>
  <c r="A191" i="4"/>
  <c r="B191" i="4"/>
  <c r="C191" i="4"/>
  <c r="D191" i="4"/>
  <c r="F191" i="4"/>
  <c r="A192" i="4"/>
  <c r="B192" i="4"/>
  <c r="C192" i="4"/>
  <c r="D192" i="4"/>
  <c r="F192" i="4"/>
  <c r="A193" i="4"/>
  <c r="B193" i="4"/>
  <c r="C193" i="4"/>
  <c r="D193" i="4"/>
  <c r="F193" i="4"/>
  <c r="A194" i="4"/>
  <c r="B194" i="4"/>
  <c r="C194" i="4"/>
  <c r="D194" i="4"/>
  <c r="F194" i="4"/>
  <c r="A195" i="4"/>
  <c r="B195" i="4"/>
  <c r="C195" i="4"/>
  <c r="D195" i="4"/>
  <c r="F195" i="4"/>
  <c r="A196" i="4"/>
  <c r="B196" i="4"/>
  <c r="C196" i="4"/>
  <c r="D196" i="4"/>
  <c r="F196" i="4"/>
  <c r="A197" i="4"/>
  <c r="B197" i="4"/>
  <c r="C197" i="4"/>
  <c r="D197" i="4"/>
  <c r="F197" i="4"/>
  <c r="A198" i="4"/>
  <c r="B198" i="4"/>
  <c r="C198" i="4"/>
  <c r="D198" i="4"/>
  <c r="F198" i="4"/>
  <c r="A199" i="4"/>
  <c r="B199" i="4"/>
  <c r="C199" i="4"/>
  <c r="D199" i="4"/>
  <c r="F199" i="4"/>
  <c r="A200" i="4"/>
  <c r="B200" i="4"/>
  <c r="C200" i="4"/>
  <c r="D200" i="4"/>
  <c r="F200" i="4"/>
  <c r="A201" i="4"/>
  <c r="B201" i="4"/>
  <c r="C201" i="4"/>
  <c r="D201" i="4"/>
  <c r="F201" i="4"/>
  <c r="A202" i="4"/>
  <c r="B202" i="4"/>
  <c r="C202" i="4"/>
  <c r="D202" i="4"/>
  <c r="F202" i="4"/>
  <c r="A203" i="4"/>
  <c r="B203" i="4"/>
  <c r="C203" i="4"/>
  <c r="D203" i="4"/>
  <c r="F203" i="4"/>
  <c r="A204" i="4"/>
  <c r="B204" i="4"/>
  <c r="C204" i="4"/>
  <c r="D204" i="4"/>
  <c r="F204" i="4"/>
  <c r="A205" i="4"/>
  <c r="B205" i="4"/>
  <c r="C205" i="4"/>
  <c r="D205" i="4"/>
  <c r="F205" i="4"/>
  <c r="A206" i="4"/>
  <c r="B206" i="4"/>
  <c r="C206" i="4"/>
  <c r="D206" i="4"/>
  <c r="F206" i="4"/>
  <c r="A207" i="4"/>
  <c r="B207" i="4"/>
  <c r="C207" i="4"/>
  <c r="D207" i="4"/>
  <c r="F207" i="4"/>
  <c r="A208" i="4"/>
  <c r="B208" i="4"/>
  <c r="C208" i="4"/>
  <c r="D208" i="4"/>
  <c r="F208" i="4"/>
  <c r="A209" i="4"/>
  <c r="B209" i="4"/>
  <c r="C209" i="4"/>
  <c r="D209" i="4"/>
  <c r="F209" i="4"/>
  <c r="A210" i="4"/>
  <c r="B210" i="4"/>
  <c r="C210" i="4"/>
  <c r="D210" i="4"/>
  <c r="F210" i="4"/>
  <c r="A211" i="4"/>
  <c r="B211" i="4"/>
  <c r="C211" i="4"/>
  <c r="D211" i="4"/>
  <c r="F211" i="4"/>
  <c r="A212" i="4"/>
  <c r="B212" i="4"/>
  <c r="C212" i="4"/>
  <c r="D212" i="4"/>
  <c r="F212" i="4"/>
  <c r="A213" i="4"/>
  <c r="B213" i="4"/>
  <c r="C213" i="4"/>
  <c r="D213" i="4"/>
  <c r="F213" i="4"/>
  <c r="A214" i="4"/>
  <c r="B214" i="4"/>
  <c r="C214" i="4"/>
  <c r="D214" i="4"/>
  <c r="F214" i="4"/>
  <c r="A215" i="4"/>
  <c r="B215" i="4"/>
  <c r="C215" i="4"/>
  <c r="D215" i="4"/>
  <c r="F215" i="4"/>
  <c r="A216" i="4"/>
  <c r="B216" i="4"/>
  <c r="C216" i="4"/>
  <c r="D216" i="4"/>
  <c r="F216" i="4"/>
  <c r="A217" i="4"/>
  <c r="B217" i="4"/>
  <c r="C217" i="4"/>
  <c r="D217" i="4"/>
  <c r="F217" i="4"/>
  <c r="A218" i="4"/>
  <c r="B218" i="4"/>
  <c r="C218" i="4"/>
  <c r="D218" i="4"/>
  <c r="F218" i="4"/>
  <c r="A219" i="4"/>
  <c r="B219" i="4"/>
  <c r="C219" i="4"/>
  <c r="D219" i="4"/>
  <c r="F219" i="4"/>
  <c r="A220" i="4"/>
  <c r="B220" i="4"/>
  <c r="C220" i="4"/>
  <c r="D220" i="4"/>
  <c r="F220" i="4"/>
  <c r="A221" i="4"/>
  <c r="B221" i="4"/>
  <c r="C221" i="4"/>
  <c r="D221" i="4"/>
  <c r="F221" i="4"/>
  <c r="A222" i="4"/>
  <c r="B222" i="4"/>
  <c r="C222" i="4"/>
  <c r="D222" i="4"/>
  <c r="F222" i="4"/>
  <c r="A223" i="4"/>
  <c r="B223" i="4"/>
  <c r="C223" i="4"/>
  <c r="D223" i="4"/>
  <c r="F223" i="4"/>
  <c r="A224" i="4"/>
  <c r="B224" i="4"/>
  <c r="C224" i="4"/>
  <c r="D224" i="4"/>
  <c r="F224" i="4"/>
  <c r="A225" i="4"/>
  <c r="B225" i="4"/>
  <c r="C225" i="4"/>
  <c r="D225" i="4"/>
  <c r="F225" i="4"/>
  <c r="A226" i="4"/>
  <c r="B226" i="4"/>
  <c r="C226" i="4"/>
  <c r="D226" i="4"/>
  <c r="F226" i="4"/>
  <c r="A227" i="4"/>
  <c r="B227" i="4"/>
  <c r="C227" i="4"/>
  <c r="D227" i="4"/>
  <c r="F227" i="4"/>
  <c r="A228" i="4"/>
  <c r="B228" i="4"/>
  <c r="C228" i="4"/>
  <c r="D228" i="4"/>
  <c r="F228" i="4"/>
  <c r="A229" i="4"/>
  <c r="B229" i="4"/>
  <c r="C229" i="4"/>
  <c r="D229" i="4"/>
  <c r="F229" i="4"/>
  <c r="A230" i="4"/>
  <c r="B230" i="4"/>
  <c r="C230" i="4"/>
  <c r="D230" i="4"/>
  <c r="F230" i="4"/>
  <c r="A231" i="4"/>
  <c r="B231" i="4"/>
  <c r="C231" i="4"/>
  <c r="D231" i="4"/>
  <c r="F231" i="4"/>
  <c r="A232" i="4"/>
  <c r="B232" i="4"/>
  <c r="C232" i="4"/>
  <c r="D232" i="4"/>
  <c r="F232" i="4"/>
  <c r="A233" i="4"/>
  <c r="B233" i="4"/>
  <c r="C233" i="4"/>
  <c r="D233" i="4"/>
  <c r="F233" i="4"/>
  <c r="A234" i="4"/>
  <c r="B234" i="4"/>
  <c r="C234" i="4"/>
  <c r="D234" i="4"/>
  <c r="F234" i="4"/>
  <c r="A235" i="4"/>
  <c r="B235" i="4"/>
  <c r="C235" i="4"/>
  <c r="D235" i="4"/>
  <c r="F235" i="4"/>
  <c r="A236" i="4"/>
  <c r="B236" i="4"/>
  <c r="C236" i="4"/>
  <c r="D236" i="4"/>
  <c r="F236" i="4"/>
  <c r="A237" i="4"/>
  <c r="B237" i="4"/>
  <c r="C237" i="4"/>
  <c r="D237" i="4"/>
  <c r="F237" i="4"/>
  <c r="A238" i="4"/>
  <c r="B238" i="4"/>
  <c r="C238" i="4"/>
  <c r="D238" i="4"/>
  <c r="F238" i="4"/>
  <c r="A239" i="4"/>
  <c r="B239" i="4"/>
  <c r="C239" i="4"/>
  <c r="D239" i="4"/>
  <c r="F239" i="4"/>
  <c r="A240" i="4"/>
  <c r="B240" i="4"/>
  <c r="C240" i="4"/>
  <c r="D240" i="4"/>
  <c r="F240" i="4"/>
  <c r="A241" i="4"/>
  <c r="B241" i="4"/>
  <c r="C241" i="4"/>
  <c r="D241" i="4"/>
  <c r="F241" i="4"/>
  <c r="A242" i="4"/>
  <c r="B242" i="4"/>
  <c r="C242" i="4"/>
  <c r="D242" i="4"/>
  <c r="F242" i="4"/>
  <c r="A243" i="4"/>
  <c r="B243" i="4"/>
  <c r="C243" i="4"/>
  <c r="D243" i="4"/>
  <c r="F243" i="4"/>
  <c r="A244" i="4"/>
  <c r="B244" i="4"/>
  <c r="C244" i="4"/>
  <c r="D244" i="4"/>
  <c r="F244" i="4"/>
  <c r="A245" i="4"/>
  <c r="B245" i="4"/>
  <c r="C245" i="4"/>
  <c r="D245" i="4"/>
  <c r="F245" i="4"/>
  <c r="A246" i="4"/>
  <c r="B246" i="4"/>
  <c r="C246" i="4"/>
  <c r="D246" i="4"/>
  <c r="F246" i="4"/>
  <c r="A247" i="4"/>
  <c r="B247" i="4"/>
  <c r="C247" i="4"/>
  <c r="D247" i="4"/>
  <c r="F247" i="4"/>
  <c r="A248" i="4"/>
  <c r="B248" i="4"/>
  <c r="C248" i="4"/>
  <c r="D248" i="4"/>
  <c r="F248" i="4"/>
  <c r="A249" i="4"/>
  <c r="B249" i="4"/>
  <c r="C249" i="4"/>
  <c r="D249" i="4"/>
  <c r="F249" i="4"/>
  <c r="A250" i="4"/>
  <c r="B250" i="4"/>
  <c r="C250" i="4"/>
  <c r="D250" i="4"/>
  <c r="F250" i="4"/>
  <c r="A251" i="4"/>
  <c r="B251" i="4"/>
  <c r="C251" i="4"/>
  <c r="D251" i="4"/>
  <c r="F251" i="4"/>
  <c r="A252" i="4"/>
  <c r="B252" i="4"/>
  <c r="C252" i="4"/>
  <c r="D252" i="4"/>
  <c r="F252" i="4"/>
  <c r="A253" i="4"/>
  <c r="B253" i="4"/>
  <c r="C253" i="4"/>
  <c r="D253" i="4"/>
  <c r="F253" i="4"/>
  <c r="A254" i="4"/>
  <c r="B254" i="4"/>
  <c r="C254" i="4"/>
  <c r="D254" i="4"/>
  <c r="F254" i="4"/>
  <c r="A255" i="4"/>
  <c r="B255" i="4"/>
  <c r="C255" i="4"/>
  <c r="D255" i="4"/>
  <c r="F255" i="4"/>
  <c r="A256" i="4"/>
  <c r="B256" i="4"/>
  <c r="C256" i="4"/>
  <c r="D256" i="4"/>
  <c r="F256" i="4"/>
  <c r="A257" i="4"/>
  <c r="B257" i="4"/>
  <c r="C257" i="4"/>
  <c r="D257" i="4"/>
  <c r="F257" i="4"/>
  <c r="A258" i="4"/>
  <c r="B258" i="4"/>
  <c r="C258" i="4"/>
  <c r="D258" i="4"/>
  <c r="F258" i="4"/>
  <c r="A259" i="4"/>
  <c r="B259" i="4"/>
  <c r="C259" i="4"/>
  <c r="D259" i="4"/>
  <c r="F259" i="4"/>
  <c r="A260" i="4"/>
  <c r="B260" i="4"/>
  <c r="C260" i="4"/>
  <c r="D260" i="4"/>
  <c r="F260" i="4"/>
  <c r="A261" i="4"/>
  <c r="B261" i="4"/>
  <c r="C261" i="4"/>
  <c r="D261" i="4"/>
  <c r="F261" i="4"/>
  <c r="A262" i="4"/>
  <c r="B262" i="4"/>
  <c r="C262" i="4"/>
  <c r="D262" i="4"/>
  <c r="F262" i="4"/>
  <c r="A263" i="4"/>
  <c r="B263" i="4"/>
  <c r="C263" i="4"/>
  <c r="D263" i="4"/>
  <c r="F263" i="4"/>
  <c r="A264" i="4"/>
  <c r="B264" i="4"/>
  <c r="C264" i="4"/>
  <c r="D264" i="4"/>
  <c r="F264" i="4"/>
  <c r="A265" i="4"/>
  <c r="B265" i="4"/>
  <c r="C265" i="4"/>
  <c r="D265" i="4"/>
  <c r="F265" i="4"/>
  <c r="A266" i="4"/>
  <c r="B266" i="4"/>
  <c r="C266" i="4"/>
  <c r="D266" i="4"/>
  <c r="F266" i="4"/>
  <c r="A267" i="4"/>
  <c r="B267" i="4"/>
  <c r="C267" i="4"/>
  <c r="D267" i="4"/>
  <c r="F267" i="4"/>
  <c r="A268" i="4"/>
  <c r="B268" i="4"/>
  <c r="C268" i="4"/>
  <c r="D268" i="4"/>
  <c r="F268" i="4"/>
  <c r="A269" i="4"/>
  <c r="B269" i="4"/>
  <c r="C269" i="4"/>
  <c r="D269" i="4"/>
  <c r="F269" i="4"/>
  <c r="A270" i="4"/>
  <c r="B270" i="4"/>
  <c r="C270" i="4"/>
  <c r="D270" i="4"/>
  <c r="F270" i="4"/>
  <c r="A271" i="4"/>
  <c r="B271" i="4"/>
  <c r="C271" i="4"/>
  <c r="D271" i="4"/>
  <c r="F271" i="4"/>
  <c r="A272" i="4"/>
  <c r="B272" i="4"/>
  <c r="C272" i="4"/>
  <c r="D272" i="4"/>
  <c r="F272" i="4"/>
  <c r="A273" i="4"/>
  <c r="B273" i="4"/>
  <c r="C273" i="4"/>
  <c r="D273" i="4"/>
  <c r="F273" i="4"/>
  <c r="A274" i="4"/>
  <c r="B274" i="4"/>
  <c r="C274" i="4"/>
  <c r="D274" i="4"/>
  <c r="F274" i="4"/>
  <c r="A275" i="4"/>
  <c r="B275" i="4"/>
  <c r="C275" i="4"/>
  <c r="D275" i="4"/>
  <c r="F275" i="4"/>
  <c r="A276" i="4"/>
  <c r="B276" i="4"/>
  <c r="C276" i="4"/>
  <c r="D276" i="4"/>
  <c r="F276" i="4"/>
  <c r="A277" i="4"/>
  <c r="B277" i="4"/>
  <c r="C277" i="4"/>
  <c r="D277" i="4"/>
  <c r="F277" i="4"/>
  <c r="A278" i="4"/>
  <c r="B278" i="4"/>
  <c r="C278" i="4"/>
  <c r="D278" i="4"/>
  <c r="F278" i="4"/>
  <c r="A279" i="4"/>
  <c r="B279" i="4"/>
  <c r="C279" i="4"/>
  <c r="D279" i="4"/>
  <c r="F279" i="4"/>
  <c r="A280" i="4"/>
  <c r="B280" i="4"/>
  <c r="C280" i="4"/>
  <c r="D280" i="4"/>
  <c r="F280" i="4"/>
  <c r="A281" i="4"/>
  <c r="B281" i="4"/>
  <c r="C281" i="4"/>
  <c r="D281" i="4"/>
  <c r="F281" i="4"/>
  <c r="A282" i="4"/>
  <c r="B282" i="4"/>
  <c r="C282" i="4"/>
  <c r="D282" i="4"/>
  <c r="F282" i="4"/>
  <c r="A283" i="4"/>
  <c r="B283" i="4"/>
  <c r="C283" i="4"/>
  <c r="D283" i="4"/>
  <c r="F283" i="4"/>
  <c r="A284" i="4"/>
  <c r="B284" i="4"/>
  <c r="C284" i="4"/>
  <c r="D284" i="4"/>
  <c r="F284" i="4"/>
  <c r="A285" i="4"/>
  <c r="B285" i="4"/>
  <c r="C285" i="4"/>
  <c r="D285" i="4"/>
  <c r="F285" i="4"/>
  <c r="A286" i="4"/>
  <c r="B286" i="4"/>
  <c r="C286" i="4"/>
  <c r="D286" i="4"/>
  <c r="F286" i="4"/>
  <c r="A287" i="4"/>
  <c r="B287" i="4"/>
  <c r="C287" i="4"/>
  <c r="D287" i="4"/>
  <c r="F287" i="4"/>
  <c r="A288" i="4"/>
  <c r="B288" i="4"/>
  <c r="C288" i="4"/>
  <c r="D288" i="4"/>
  <c r="F288" i="4"/>
  <c r="A289" i="4"/>
  <c r="B289" i="4"/>
  <c r="C289" i="4"/>
  <c r="D289" i="4"/>
  <c r="F289" i="4"/>
  <c r="A290" i="4"/>
  <c r="B290" i="4"/>
  <c r="C290" i="4"/>
  <c r="D290" i="4"/>
  <c r="F290" i="4"/>
  <c r="A291" i="4"/>
  <c r="B291" i="4"/>
  <c r="C291" i="4"/>
  <c r="D291" i="4"/>
  <c r="F291" i="4"/>
  <c r="A292" i="4"/>
  <c r="B292" i="4"/>
  <c r="C292" i="4"/>
  <c r="D292" i="4"/>
  <c r="F292" i="4"/>
  <c r="A293" i="4"/>
  <c r="B293" i="4"/>
  <c r="C293" i="4"/>
  <c r="D293" i="4"/>
  <c r="F293" i="4"/>
  <c r="A294" i="4"/>
  <c r="B294" i="4"/>
  <c r="C294" i="4"/>
  <c r="D294" i="4"/>
  <c r="F294" i="4"/>
  <c r="A295" i="4"/>
  <c r="B295" i="4"/>
  <c r="C295" i="4"/>
  <c r="D295" i="4"/>
  <c r="F295" i="4"/>
  <c r="A296" i="4"/>
  <c r="B296" i="4"/>
  <c r="C296" i="4"/>
  <c r="D296" i="4"/>
  <c r="F296" i="4"/>
  <c r="A297" i="4"/>
  <c r="B297" i="4"/>
  <c r="C297" i="4"/>
  <c r="D297" i="4"/>
  <c r="F297" i="4"/>
  <c r="A298" i="4"/>
  <c r="B298" i="4"/>
  <c r="C298" i="4"/>
  <c r="D298" i="4"/>
  <c r="F298" i="4"/>
  <c r="A299" i="4"/>
  <c r="B299" i="4"/>
  <c r="C299" i="4"/>
  <c r="D299" i="4"/>
  <c r="F299" i="4"/>
  <c r="A300" i="4"/>
  <c r="B300" i="4"/>
  <c r="C300" i="4"/>
  <c r="D300" i="4"/>
  <c r="F300" i="4"/>
  <c r="A301" i="4"/>
  <c r="B301" i="4"/>
  <c r="C301" i="4"/>
  <c r="D301" i="4"/>
  <c r="F301" i="4"/>
  <c r="A302" i="4"/>
  <c r="B302" i="4"/>
  <c r="C302" i="4"/>
  <c r="D302" i="4"/>
  <c r="F302" i="4"/>
  <c r="A303" i="4"/>
  <c r="B303" i="4"/>
  <c r="C303" i="4"/>
  <c r="D303" i="4"/>
  <c r="F303" i="4"/>
  <c r="A304" i="4"/>
  <c r="B304" i="4"/>
  <c r="C304" i="4"/>
  <c r="D304" i="4"/>
  <c r="F304" i="4"/>
  <c r="A305" i="4"/>
  <c r="B305" i="4"/>
  <c r="C305" i="4"/>
  <c r="D305" i="4"/>
  <c r="F305" i="4"/>
  <c r="A306" i="4"/>
  <c r="B306" i="4"/>
  <c r="C306" i="4"/>
  <c r="D306" i="4"/>
  <c r="F306" i="4"/>
  <c r="A307" i="4"/>
  <c r="B307" i="4"/>
  <c r="C307" i="4"/>
  <c r="D307" i="4"/>
  <c r="F307" i="4"/>
  <c r="A308" i="4"/>
  <c r="B308" i="4"/>
  <c r="C308" i="4"/>
  <c r="D308" i="4"/>
  <c r="F308" i="4"/>
  <c r="A309" i="4"/>
  <c r="B309" i="4"/>
  <c r="C309" i="4"/>
  <c r="D309" i="4"/>
  <c r="F309" i="4"/>
  <c r="A310" i="4"/>
  <c r="B310" i="4"/>
  <c r="C310" i="4"/>
  <c r="D310" i="4"/>
  <c r="F310" i="4"/>
  <c r="A311" i="4"/>
  <c r="B311" i="4"/>
  <c r="C311" i="4"/>
  <c r="D311" i="4"/>
  <c r="F311" i="4"/>
  <c r="A312" i="4"/>
  <c r="B312" i="4"/>
  <c r="C312" i="4"/>
  <c r="D312" i="4"/>
  <c r="F312" i="4"/>
  <c r="A313" i="4"/>
  <c r="B313" i="4"/>
  <c r="C313" i="4"/>
  <c r="D313" i="4"/>
  <c r="F313" i="4"/>
  <c r="A314" i="4"/>
  <c r="B314" i="4"/>
  <c r="C314" i="4"/>
  <c r="D314" i="4"/>
  <c r="F314" i="4"/>
  <c r="A315" i="4"/>
  <c r="B315" i="4"/>
  <c r="C315" i="4"/>
  <c r="D315" i="4"/>
  <c r="F315" i="4"/>
  <c r="A316" i="4"/>
  <c r="B316" i="4"/>
  <c r="C316" i="4"/>
  <c r="D316" i="4"/>
  <c r="F316" i="4"/>
  <c r="A317" i="4"/>
  <c r="B317" i="4"/>
  <c r="C317" i="4"/>
  <c r="D317" i="4"/>
  <c r="F317" i="4"/>
  <c r="A318" i="4"/>
  <c r="B318" i="4"/>
  <c r="C318" i="4"/>
  <c r="D318" i="4"/>
  <c r="F318" i="4"/>
  <c r="A319" i="4"/>
  <c r="B319" i="4"/>
  <c r="C319" i="4"/>
  <c r="D319" i="4"/>
  <c r="F319" i="4"/>
  <c r="A320" i="4"/>
  <c r="B320" i="4"/>
  <c r="C320" i="4"/>
  <c r="D320" i="4"/>
  <c r="F320" i="4"/>
  <c r="A321" i="4"/>
  <c r="B321" i="4"/>
  <c r="C321" i="4"/>
  <c r="D321" i="4"/>
  <c r="F321" i="4"/>
  <c r="A322" i="4"/>
  <c r="B322" i="4"/>
  <c r="C322" i="4"/>
  <c r="D322" i="4"/>
  <c r="F322" i="4"/>
  <c r="A323" i="4"/>
  <c r="B323" i="4"/>
  <c r="C323" i="4"/>
  <c r="D323" i="4"/>
  <c r="F323" i="4"/>
  <c r="A324" i="4"/>
  <c r="B324" i="4"/>
  <c r="C324" i="4"/>
  <c r="D324" i="4"/>
  <c r="F324" i="4"/>
  <c r="A325" i="4"/>
  <c r="B325" i="4"/>
  <c r="C325" i="4"/>
  <c r="D325" i="4"/>
  <c r="F325" i="4"/>
  <c r="A326" i="4"/>
  <c r="B326" i="4"/>
  <c r="C326" i="4"/>
  <c r="D326" i="4"/>
  <c r="F326" i="4"/>
  <c r="A327" i="4"/>
  <c r="B327" i="4"/>
  <c r="C327" i="4"/>
  <c r="D327" i="4"/>
  <c r="F327" i="4"/>
  <c r="A328" i="4"/>
  <c r="B328" i="4"/>
  <c r="C328" i="4"/>
  <c r="D328" i="4"/>
  <c r="F328" i="4"/>
  <c r="A329" i="4"/>
  <c r="B329" i="4"/>
  <c r="C329" i="4"/>
  <c r="D329" i="4"/>
  <c r="F329" i="4"/>
  <c r="A330" i="4"/>
  <c r="B330" i="4"/>
  <c r="C330" i="4"/>
  <c r="D330" i="4"/>
  <c r="F330" i="4"/>
  <c r="A331" i="4"/>
  <c r="B331" i="4"/>
  <c r="C331" i="4"/>
  <c r="D331" i="4"/>
  <c r="F331" i="4"/>
  <c r="A332" i="4"/>
  <c r="B332" i="4"/>
  <c r="C332" i="4"/>
  <c r="D332" i="4"/>
  <c r="F332" i="4"/>
  <c r="A333" i="4"/>
  <c r="B333" i="4"/>
  <c r="C333" i="4"/>
  <c r="D333" i="4"/>
  <c r="F333" i="4"/>
  <c r="A334" i="4"/>
  <c r="B334" i="4"/>
  <c r="C334" i="4"/>
  <c r="D334" i="4"/>
  <c r="F334" i="4"/>
  <c r="A335" i="4"/>
  <c r="B335" i="4"/>
  <c r="C335" i="4"/>
  <c r="D335" i="4"/>
  <c r="F335" i="4"/>
  <c r="A336" i="4"/>
  <c r="B336" i="4"/>
  <c r="C336" i="4"/>
  <c r="D336" i="4"/>
  <c r="F336" i="4"/>
  <c r="A337" i="4"/>
  <c r="B337" i="4"/>
  <c r="C337" i="4"/>
  <c r="D337" i="4"/>
  <c r="F337" i="4"/>
  <c r="A338" i="4"/>
  <c r="B338" i="4"/>
  <c r="C338" i="4"/>
  <c r="D338" i="4"/>
  <c r="F338" i="4"/>
  <c r="A339" i="4"/>
  <c r="B339" i="4"/>
  <c r="C339" i="4"/>
  <c r="D339" i="4"/>
  <c r="F339" i="4"/>
  <c r="A340" i="4"/>
  <c r="B340" i="4"/>
  <c r="C340" i="4"/>
  <c r="D340" i="4"/>
  <c r="F340" i="4"/>
  <c r="A341" i="4"/>
  <c r="B341" i="4"/>
  <c r="C341" i="4"/>
  <c r="D341" i="4"/>
  <c r="F341" i="4"/>
  <c r="A342" i="4"/>
  <c r="B342" i="4"/>
  <c r="C342" i="4"/>
  <c r="D342" i="4"/>
  <c r="F342" i="4"/>
  <c r="A343" i="4"/>
  <c r="B343" i="4"/>
  <c r="C343" i="4"/>
  <c r="D343" i="4"/>
  <c r="F343" i="4"/>
  <c r="A344" i="4"/>
  <c r="B344" i="4"/>
  <c r="C344" i="4"/>
  <c r="D344" i="4"/>
  <c r="F344" i="4"/>
  <c r="A345" i="4"/>
  <c r="B345" i="4"/>
  <c r="C345" i="4"/>
  <c r="D345" i="4"/>
  <c r="F345" i="4"/>
  <c r="A346" i="4"/>
  <c r="B346" i="4"/>
  <c r="C346" i="4"/>
  <c r="D346" i="4"/>
  <c r="F346" i="4"/>
  <c r="A347" i="4"/>
  <c r="B347" i="4"/>
  <c r="C347" i="4"/>
  <c r="D347" i="4"/>
  <c r="F347" i="4"/>
  <c r="A348" i="4"/>
  <c r="B348" i="4"/>
  <c r="C348" i="4"/>
  <c r="D348" i="4"/>
  <c r="F348" i="4"/>
  <c r="A349" i="4"/>
  <c r="B349" i="4"/>
  <c r="C349" i="4"/>
  <c r="D349" i="4"/>
  <c r="F349" i="4"/>
  <c r="A350" i="4"/>
  <c r="B350" i="4"/>
  <c r="C350" i="4"/>
  <c r="D350" i="4"/>
  <c r="F350" i="4"/>
  <c r="A351" i="4"/>
  <c r="B351" i="4"/>
  <c r="C351" i="4"/>
  <c r="D351" i="4"/>
  <c r="F351" i="4"/>
  <c r="A352" i="4"/>
  <c r="B352" i="4"/>
  <c r="C352" i="4"/>
  <c r="D352" i="4"/>
  <c r="F352" i="4"/>
  <c r="A353" i="4"/>
  <c r="B353" i="4"/>
  <c r="C353" i="4"/>
  <c r="D353" i="4"/>
  <c r="F353" i="4"/>
  <c r="A354" i="4"/>
  <c r="B354" i="4"/>
  <c r="C354" i="4"/>
  <c r="D354" i="4"/>
  <c r="F354" i="4"/>
  <c r="A355" i="4"/>
  <c r="B355" i="4"/>
  <c r="C355" i="4"/>
  <c r="D355" i="4"/>
  <c r="F355" i="4"/>
  <c r="A356" i="4"/>
  <c r="B356" i="4"/>
  <c r="C356" i="4"/>
  <c r="D356" i="4"/>
  <c r="F356" i="4"/>
  <c r="A357" i="4"/>
  <c r="B357" i="4"/>
  <c r="C357" i="4"/>
  <c r="D357" i="4"/>
  <c r="F357" i="4"/>
  <c r="A358" i="4"/>
  <c r="B358" i="4"/>
  <c r="C358" i="4"/>
  <c r="D358" i="4"/>
  <c r="F358" i="4"/>
  <c r="A359" i="4"/>
  <c r="B359" i="4"/>
  <c r="C359" i="4"/>
  <c r="D359" i="4"/>
  <c r="F359" i="4"/>
  <c r="A360" i="4"/>
  <c r="B360" i="4"/>
  <c r="C360" i="4"/>
  <c r="D360" i="4"/>
  <c r="F360" i="4"/>
  <c r="A361" i="4"/>
  <c r="B361" i="4"/>
  <c r="C361" i="4"/>
  <c r="D361" i="4"/>
  <c r="F361" i="4"/>
  <c r="A362" i="4"/>
  <c r="B362" i="4"/>
  <c r="C362" i="4"/>
  <c r="D362" i="4"/>
  <c r="F362" i="4"/>
  <c r="A363" i="4"/>
  <c r="B363" i="4"/>
  <c r="C363" i="4"/>
  <c r="D363" i="4"/>
  <c r="F363" i="4"/>
  <c r="A364" i="4"/>
  <c r="B364" i="4"/>
  <c r="C364" i="4"/>
  <c r="D364" i="4"/>
  <c r="F364" i="4"/>
  <c r="A365" i="4"/>
  <c r="B365" i="4"/>
  <c r="C365" i="4"/>
  <c r="D365" i="4"/>
  <c r="F365" i="4"/>
  <c r="A366" i="4"/>
  <c r="B366" i="4"/>
  <c r="C366" i="4"/>
  <c r="D366" i="4"/>
  <c r="F366" i="4"/>
  <c r="A367" i="4"/>
  <c r="B367" i="4"/>
  <c r="C367" i="4"/>
  <c r="D367" i="4"/>
  <c r="F367" i="4"/>
  <c r="A368" i="4"/>
  <c r="B368" i="4"/>
  <c r="C368" i="4"/>
  <c r="D368" i="4"/>
  <c r="F368" i="4"/>
  <c r="A369" i="4"/>
  <c r="B369" i="4"/>
  <c r="C369" i="4"/>
  <c r="D369" i="4"/>
  <c r="F369" i="4"/>
  <c r="A370" i="4"/>
  <c r="B370" i="4"/>
  <c r="C370" i="4"/>
  <c r="D370" i="4"/>
  <c r="F370" i="4"/>
  <c r="A371" i="4"/>
  <c r="B371" i="4"/>
  <c r="C371" i="4"/>
  <c r="D371" i="4"/>
  <c r="F371" i="4"/>
  <c r="A372" i="4"/>
  <c r="B372" i="4"/>
  <c r="C372" i="4"/>
  <c r="D372" i="4"/>
  <c r="F372" i="4"/>
  <c r="A373" i="4"/>
  <c r="B373" i="4"/>
  <c r="C373" i="4"/>
  <c r="D373" i="4"/>
  <c r="F373" i="4"/>
  <c r="A374" i="4"/>
  <c r="B374" i="4"/>
  <c r="C374" i="4"/>
  <c r="D374" i="4"/>
  <c r="F374" i="4"/>
  <c r="A375" i="4"/>
  <c r="B375" i="4"/>
  <c r="C375" i="4"/>
  <c r="D375" i="4"/>
  <c r="F375" i="4"/>
  <c r="A376" i="4"/>
  <c r="B376" i="4"/>
  <c r="C376" i="4"/>
  <c r="D376" i="4"/>
  <c r="F376" i="4"/>
  <c r="A377" i="4"/>
  <c r="B377" i="4"/>
  <c r="C377" i="4"/>
  <c r="D377" i="4"/>
  <c r="F377" i="4"/>
  <c r="A378" i="4"/>
  <c r="B378" i="4"/>
  <c r="C378" i="4"/>
  <c r="D378" i="4"/>
  <c r="F378" i="4"/>
  <c r="A379" i="4"/>
  <c r="B379" i="4"/>
  <c r="C379" i="4"/>
  <c r="D379" i="4"/>
  <c r="F379" i="4"/>
  <c r="A380" i="4"/>
  <c r="B380" i="4"/>
  <c r="C380" i="4"/>
  <c r="D380" i="4"/>
  <c r="F380" i="4"/>
  <c r="A381" i="4"/>
  <c r="B381" i="4"/>
  <c r="C381" i="4"/>
  <c r="D381" i="4"/>
  <c r="F381" i="4"/>
  <c r="A382" i="4"/>
  <c r="B382" i="4"/>
  <c r="C382" i="4"/>
  <c r="D382" i="4"/>
  <c r="F382" i="4"/>
  <c r="A383" i="4"/>
  <c r="B383" i="4"/>
  <c r="C383" i="4"/>
  <c r="D383" i="4"/>
  <c r="F383" i="4"/>
  <c r="A384" i="4"/>
  <c r="B384" i="4"/>
  <c r="C384" i="4"/>
  <c r="D384" i="4"/>
  <c r="F384" i="4"/>
  <c r="A385" i="4"/>
  <c r="B385" i="4"/>
  <c r="C385" i="4"/>
  <c r="D385" i="4"/>
  <c r="F385" i="4"/>
  <c r="A386" i="4"/>
  <c r="B386" i="4"/>
  <c r="C386" i="4"/>
  <c r="D386" i="4"/>
  <c r="F386" i="4"/>
  <c r="A387" i="4"/>
  <c r="B387" i="4"/>
  <c r="C387" i="4"/>
  <c r="D387" i="4"/>
  <c r="F387" i="4"/>
  <c r="A388" i="4"/>
  <c r="B388" i="4"/>
  <c r="C388" i="4"/>
  <c r="D388" i="4"/>
  <c r="F388" i="4"/>
  <c r="A389" i="4"/>
  <c r="B389" i="4"/>
  <c r="C389" i="4"/>
  <c r="D389" i="4"/>
  <c r="F389" i="4"/>
  <c r="A390" i="4"/>
  <c r="B390" i="4"/>
  <c r="C390" i="4"/>
  <c r="D390" i="4"/>
  <c r="F390" i="4"/>
  <c r="A391" i="4"/>
  <c r="B391" i="4"/>
  <c r="C391" i="4"/>
  <c r="D391" i="4"/>
  <c r="F391" i="4"/>
  <c r="A392" i="4"/>
  <c r="B392" i="4"/>
  <c r="C392" i="4"/>
  <c r="D392" i="4"/>
  <c r="F392" i="4"/>
  <c r="A393" i="4"/>
  <c r="B393" i="4"/>
  <c r="C393" i="4"/>
  <c r="D393" i="4"/>
  <c r="F393" i="4"/>
  <c r="A394" i="4"/>
  <c r="B394" i="4"/>
  <c r="C394" i="4"/>
  <c r="D394" i="4"/>
  <c r="F394" i="4"/>
  <c r="A395" i="4"/>
  <c r="B395" i="4"/>
  <c r="C395" i="4"/>
  <c r="D395" i="4"/>
  <c r="F395" i="4"/>
  <c r="A396" i="4"/>
  <c r="B396" i="4"/>
  <c r="C396" i="4"/>
  <c r="D396" i="4"/>
  <c r="F396" i="4"/>
  <c r="A397" i="4"/>
  <c r="B397" i="4"/>
  <c r="C397" i="4"/>
  <c r="D397" i="4"/>
  <c r="F397" i="4"/>
  <c r="A398" i="4"/>
  <c r="B398" i="4"/>
  <c r="C398" i="4"/>
  <c r="D398" i="4"/>
  <c r="F398" i="4"/>
  <c r="A399" i="4"/>
  <c r="B399" i="4"/>
  <c r="C399" i="4"/>
  <c r="D399" i="4"/>
  <c r="F399" i="4"/>
  <c r="A400" i="4"/>
  <c r="B400" i="4"/>
  <c r="C400" i="4"/>
  <c r="D400" i="4"/>
  <c r="F400" i="4"/>
  <c r="A401" i="4"/>
  <c r="B401" i="4"/>
  <c r="C401" i="4"/>
  <c r="D401" i="4"/>
  <c r="F401" i="4"/>
  <c r="A402" i="4"/>
  <c r="B402" i="4"/>
  <c r="C402" i="4"/>
  <c r="D402" i="4"/>
  <c r="F402" i="4"/>
  <c r="A403" i="4"/>
  <c r="B403" i="4"/>
  <c r="C403" i="4"/>
  <c r="D403" i="4"/>
  <c r="F403" i="4"/>
  <c r="A404" i="4"/>
  <c r="B404" i="4"/>
  <c r="C404" i="4"/>
  <c r="D404" i="4"/>
  <c r="F404" i="4"/>
  <c r="A405" i="4"/>
  <c r="B405" i="4"/>
  <c r="C405" i="4"/>
  <c r="D405" i="4"/>
  <c r="F405" i="4"/>
  <c r="A406" i="4"/>
  <c r="B406" i="4"/>
  <c r="C406" i="4"/>
  <c r="D406" i="4"/>
  <c r="F406" i="4"/>
  <c r="A407" i="4"/>
  <c r="B407" i="4"/>
  <c r="C407" i="4"/>
  <c r="D407" i="4"/>
  <c r="F407" i="4"/>
  <c r="A408" i="4"/>
  <c r="B408" i="4"/>
  <c r="C408" i="4"/>
  <c r="D408" i="4"/>
  <c r="F408" i="4"/>
  <c r="A409" i="4"/>
  <c r="B409" i="4"/>
  <c r="C409" i="4"/>
  <c r="D409" i="4"/>
  <c r="F409" i="4"/>
  <c r="A410" i="4"/>
  <c r="B410" i="4"/>
  <c r="C410" i="4"/>
  <c r="D410" i="4"/>
  <c r="F410" i="4"/>
  <c r="A411" i="4"/>
  <c r="B411" i="4"/>
  <c r="C411" i="4"/>
  <c r="D411" i="4"/>
  <c r="F411" i="4"/>
  <c r="A412" i="4"/>
  <c r="B412" i="4"/>
  <c r="C412" i="4"/>
  <c r="D412" i="4"/>
  <c r="F412" i="4"/>
  <c r="A413" i="4"/>
  <c r="B413" i="4"/>
  <c r="C413" i="4"/>
  <c r="D413" i="4"/>
  <c r="F413" i="4"/>
  <c r="A414" i="4"/>
  <c r="B414" i="4"/>
  <c r="C414" i="4"/>
  <c r="D414" i="4"/>
  <c r="F414" i="4"/>
  <c r="A415" i="4"/>
  <c r="B415" i="4"/>
  <c r="C415" i="4"/>
  <c r="D415" i="4"/>
  <c r="F415" i="4"/>
  <c r="A416" i="4"/>
  <c r="B416" i="4"/>
  <c r="C416" i="4"/>
  <c r="D416" i="4"/>
  <c r="F416" i="4"/>
  <c r="A417" i="4"/>
  <c r="B417" i="4"/>
  <c r="C417" i="4"/>
  <c r="D417" i="4"/>
  <c r="F417" i="4"/>
  <c r="A418" i="4"/>
  <c r="B418" i="4"/>
  <c r="C418" i="4"/>
  <c r="D418" i="4"/>
  <c r="F418" i="4"/>
  <c r="A419" i="4"/>
  <c r="B419" i="4"/>
  <c r="C419" i="4"/>
  <c r="D419" i="4"/>
  <c r="F419" i="4"/>
  <c r="A420" i="4"/>
  <c r="B420" i="4"/>
  <c r="C420" i="4"/>
  <c r="D420" i="4"/>
  <c r="F420" i="4"/>
  <c r="A421" i="4"/>
  <c r="B421" i="4"/>
  <c r="C421" i="4"/>
  <c r="D421" i="4"/>
  <c r="F421" i="4"/>
  <c r="A422" i="4"/>
  <c r="B422" i="4"/>
  <c r="C422" i="4"/>
  <c r="D422" i="4"/>
  <c r="F422" i="4"/>
  <c r="A423" i="4"/>
  <c r="B423" i="4"/>
  <c r="C423" i="4"/>
  <c r="D423" i="4"/>
  <c r="F423" i="4"/>
  <c r="A424" i="4"/>
  <c r="B424" i="4"/>
  <c r="C424" i="4"/>
  <c r="D424" i="4"/>
  <c r="F424" i="4"/>
  <c r="A425" i="4"/>
  <c r="B425" i="4"/>
  <c r="C425" i="4"/>
  <c r="D425" i="4"/>
  <c r="F425" i="4"/>
  <c r="A426" i="4"/>
  <c r="B426" i="4"/>
  <c r="C426" i="4"/>
  <c r="D426" i="4"/>
  <c r="F426" i="4"/>
  <c r="A427" i="4"/>
  <c r="B427" i="4"/>
  <c r="C427" i="4"/>
  <c r="D427" i="4"/>
  <c r="F427" i="4"/>
  <c r="A428" i="4"/>
  <c r="B428" i="4"/>
  <c r="C428" i="4"/>
  <c r="D428" i="4"/>
  <c r="F428" i="4"/>
  <c r="A429" i="4"/>
  <c r="B429" i="4"/>
  <c r="C429" i="4"/>
  <c r="D429" i="4"/>
  <c r="F429" i="4"/>
  <c r="A430" i="4"/>
  <c r="B430" i="4"/>
  <c r="C430" i="4"/>
  <c r="D430" i="4"/>
  <c r="F430" i="4"/>
  <c r="A431" i="4"/>
  <c r="B431" i="4"/>
  <c r="C431" i="4"/>
  <c r="D431" i="4"/>
  <c r="F431" i="4"/>
  <c r="A432" i="4"/>
  <c r="B432" i="4"/>
  <c r="C432" i="4"/>
  <c r="D432" i="4"/>
  <c r="F432" i="4"/>
  <c r="A433" i="4"/>
  <c r="B433" i="4"/>
  <c r="C433" i="4"/>
  <c r="D433" i="4"/>
  <c r="F433" i="4"/>
  <c r="A434" i="4"/>
  <c r="B434" i="4"/>
  <c r="C434" i="4"/>
  <c r="D434" i="4"/>
  <c r="F434" i="4"/>
  <c r="A435" i="4"/>
  <c r="B435" i="4"/>
  <c r="C435" i="4"/>
  <c r="D435" i="4"/>
  <c r="F435" i="4"/>
  <c r="A436" i="4"/>
  <c r="B436" i="4"/>
  <c r="C436" i="4"/>
  <c r="D436" i="4"/>
  <c r="F436" i="4"/>
  <c r="A437" i="4"/>
  <c r="B437" i="4"/>
  <c r="C437" i="4"/>
  <c r="D437" i="4"/>
  <c r="F437" i="4"/>
  <c r="A438" i="4"/>
  <c r="B438" i="4"/>
  <c r="C438" i="4"/>
  <c r="D438" i="4"/>
  <c r="F438" i="4"/>
  <c r="A439" i="4"/>
  <c r="B439" i="4"/>
  <c r="C439" i="4"/>
  <c r="D439" i="4"/>
  <c r="F439" i="4"/>
  <c r="A440" i="4"/>
  <c r="B440" i="4"/>
  <c r="C440" i="4"/>
  <c r="D440" i="4"/>
  <c r="F440" i="4"/>
  <c r="A441" i="4"/>
  <c r="B441" i="4"/>
  <c r="C441" i="4"/>
  <c r="D441" i="4"/>
  <c r="F441" i="4"/>
  <c r="A442" i="4"/>
  <c r="B442" i="4"/>
  <c r="C442" i="4"/>
  <c r="D442" i="4"/>
  <c r="F442" i="4"/>
  <c r="A443" i="4"/>
  <c r="B443" i="4"/>
  <c r="C443" i="4"/>
  <c r="D443" i="4"/>
  <c r="F443" i="4"/>
  <c r="A444" i="4"/>
  <c r="B444" i="4"/>
  <c r="C444" i="4"/>
  <c r="D444" i="4"/>
  <c r="F444" i="4"/>
  <c r="A445" i="4"/>
  <c r="B445" i="4"/>
  <c r="C445" i="4"/>
  <c r="D445" i="4"/>
  <c r="F445" i="4"/>
  <c r="A446" i="4"/>
  <c r="B446" i="4"/>
  <c r="C446" i="4"/>
  <c r="D446" i="4"/>
  <c r="F446" i="4"/>
  <c r="A447" i="4"/>
  <c r="B447" i="4"/>
  <c r="C447" i="4"/>
  <c r="D447" i="4"/>
  <c r="F447" i="4"/>
  <c r="A448" i="4"/>
  <c r="B448" i="4"/>
  <c r="C448" i="4"/>
  <c r="D448" i="4"/>
  <c r="F448" i="4"/>
  <c r="A449" i="4"/>
  <c r="B449" i="4"/>
  <c r="C449" i="4"/>
  <c r="D449" i="4"/>
  <c r="F449" i="4"/>
  <c r="A450" i="4"/>
  <c r="B450" i="4"/>
  <c r="C450" i="4"/>
  <c r="D450" i="4"/>
  <c r="F450" i="4"/>
  <c r="A451" i="4"/>
  <c r="B451" i="4"/>
  <c r="C451" i="4"/>
  <c r="D451" i="4"/>
  <c r="F451" i="4"/>
  <c r="A452" i="4"/>
  <c r="B452" i="4"/>
  <c r="C452" i="4"/>
  <c r="D452" i="4"/>
  <c r="F452" i="4"/>
  <c r="A453" i="4"/>
  <c r="B453" i="4"/>
  <c r="C453" i="4"/>
  <c r="D453" i="4"/>
  <c r="F453" i="4"/>
  <c r="A454" i="4"/>
  <c r="B454" i="4"/>
  <c r="C454" i="4"/>
  <c r="D454" i="4"/>
  <c r="F454" i="4"/>
  <c r="A455" i="4"/>
  <c r="B455" i="4"/>
  <c r="C455" i="4"/>
  <c r="D455" i="4"/>
  <c r="F455" i="4"/>
  <c r="A456" i="4"/>
  <c r="B456" i="4"/>
  <c r="C456" i="4"/>
  <c r="D456" i="4"/>
  <c r="F456" i="4"/>
  <c r="A457" i="4"/>
  <c r="B457" i="4"/>
  <c r="C457" i="4"/>
  <c r="D457" i="4"/>
  <c r="F457" i="4"/>
  <c r="A458" i="4"/>
  <c r="B458" i="4"/>
  <c r="C458" i="4"/>
  <c r="D458" i="4"/>
  <c r="F458" i="4"/>
  <c r="A459" i="4"/>
  <c r="B459" i="4"/>
  <c r="C459" i="4"/>
  <c r="D459" i="4"/>
  <c r="F459" i="4"/>
  <c r="A460" i="4"/>
  <c r="B460" i="4"/>
  <c r="C460" i="4"/>
  <c r="D460" i="4"/>
  <c r="F460" i="4"/>
  <c r="A461" i="4"/>
  <c r="B461" i="4"/>
  <c r="C461" i="4"/>
  <c r="D461" i="4"/>
  <c r="F461" i="4"/>
  <c r="A462" i="4"/>
  <c r="B462" i="4"/>
  <c r="C462" i="4"/>
  <c r="D462" i="4"/>
  <c r="F462" i="4"/>
  <c r="A463" i="4"/>
  <c r="B463" i="4"/>
  <c r="C463" i="4"/>
  <c r="D463" i="4"/>
  <c r="F463" i="4"/>
  <c r="A464" i="4"/>
  <c r="B464" i="4"/>
  <c r="C464" i="4"/>
  <c r="D464" i="4"/>
  <c r="F464" i="4"/>
  <c r="A465" i="4"/>
  <c r="B465" i="4"/>
  <c r="C465" i="4"/>
  <c r="D465" i="4"/>
  <c r="F465" i="4"/>
  <c r="A466" i="4"/>
  <c r="B466" i="4"/>
  <c r="C466" i="4"/>
  <c r="D466" i="4"/>
  <c r="F466" i="4"/>
  <c r="A467" i="4"/>
  <c r="B467" i="4"/>
  <c r="C467" i="4"/>
  <c r="D467" i="4"/>
  <c r="F467" i="4"/>
  <c r="A468" i="4"/>
  <c r="B468" i="4"/>
  <c r="C468" i="4"/>
  <c r="D468" i="4"/>
  <c r="F468" i="4"/>
  <c r="A469" i="4"/>
  <c r="B469" i="4"/>
  <c r="C469" i="4"/>
  <c r="D469" i="4"/>
  <c r="F469" i="4"/>
  <c r="A470" i="4"/>
  <c r="B470" i="4"/>
  <c r="C470" i="4"/>
  <c r="D470" i="4"/>
  <c r="F470" i="4"/>
  <c r="A471" i="4"/>
  <c r="B471" i="4"/>
  <c r="C471" i="4"/>
  <c r="D471" i="4"/>
  <c r="F471" i="4"/>
  <c r="A472" i="4"/>
  <c r="B472" i="4"/>
  <c r="C472" i="4"/>
  <c r="D472" i="4"/>
  <c r="F472" i="4"/>
  <c r="A473" i="4"/>
  <c r="B473" i="4"/>
  <c r="C473" i="4"/>
  <c r="D473" i="4"/>
  <c r="F473" i="4"/>
  <c r="A474" i="4"/>
  <c r="B474" i="4"/>
  <c r="C474" i="4"/>
  <c r="D474" i="4"/>
  <c r="F474" i="4"/>
  <c r="A475" i="4"/>
  <c r="B475" i="4"/>
  <c r="C475" i="4"/>
  <c r="D475" i="4"/>
  <c r="F475" i="4"/>
  <c r="A476" i="4"/>
  <c r="B476" i="4"/>
  <c r="C476" i="4"/>
  <c r="D476" i="4"/>
  <c r="F476" i="4"/>
  <c r="A477" i="4"/>
  <c r="B477" i="4"/>
  <c r="C477" i="4"/>
  <c r="D477" i="4"/>
  <c r="F477" i="4"/>
  <c r="A478" i="4"/>
  <c r="B478" i="4"/>
  <c r="C478" i="4"/>
  <c r="D478" i="4"/>
  <c r="F478" i="4"/>
  <c r="A479" i="4"/>
  <c r="B479" i="4"/>
  <c r="C479" i="4"/>
  <c r="D479" i="4"/>
  <c r="F479" i="4"/>
  <c r="A480" i="4"/>
  <c r="B480" i="4"/>
  <c r="C480" i="4"/>
  <c r="D480" i="4"/>
  <c r="F480" i="4"/>
  <c r="A481" i="4"/>
  <c r="B481" i="4"/>
  <c r="C481" i="4"/>
  <c r="D481" i="4"/>
  <c r="F481" i="4"/>
  <c r="A482" i="4"/>
  <c r="B482" i="4"/>
  <c r="C482" i="4"/>
  <c r="D482" i="4"/>
  <c r="F482" i="4"/>
  <c r="A483" i="4"/>
  <c r="B483" i="4"/>
  <c r="C483" i="4"/>
  <c r="D483" i="4"/>
  <c r="F483" i="4"/>
  <c r="A484" i="4"/>
  <c r="B484" i="4"/>
  <c r="C484" i="4"/>
  <c r="D484" i="4"/>
  <c r="F484" i="4"/>
  <c r="A485" i="4"/>
  <c r="B485" i="4"/>
  <c r="C485" i="4"/>
  <c r="D485" i="4"/>
  <c r="F485" i="4"/>
  <c r="A486" i="4"/>
  <c r="B486" i="4"/>
  <c r="C486" i="4"/>
  <c r="D486" i="4"/>
  <c r="F486" i="4"/>
  <c r="A487" i="4"/>
  <c r="B487" i="4"/>
  <c r="C487" i="4"/>
  <c r="D487" i="4"/>
  <c r="F487" i="4"/>
  <c r="A488" i="4"/>
  <c r="B488" i="4"/>
  <c r="C488" i="4"/>
  <c r="D488" i="4"/>
  <c r="F488" i="4"/>
  <c r="A489" i="4"/>
  <c r="B489" i="4"/>
  <c r="C489" i="4"/>
  <c r="D489" i="4"/>
  <c r="F489" i="4"/>
  <c r="A490" i="4"/>
  <c r="B490" i="4"/>
  <c r="C490" i="4"/>
  <c r="D490" i="4"/>
  <c r="F490" i="4"/>
  <c r="A491" i="4"/>
  <c r="B491" i="4"/>
  <c r="C491" i="4"/>
  <c r="D491" i="4"/>
  <c r="F491" i="4"/>
  <c r="A492" i="4"/>
  <c r="B492" i="4"/>
  <c r="C492" i="4"/>
  <c r="D492" i="4"/>
  <c r="F492" i="4"/>
  <c r="A493" i="4"/>
  <c r="B493" i="4"/>
  <c r="C493" i="4"/>
  <c r="D493" i="4"/>
  <c r="F493" i="4"/>
  <c r="A494" i="4"/>
  <c r="B494" i="4"/>
  <c r="C494" i="4"/>
  <c r="D494" i="4"/>
  <c r="F494" i="4"/>
  <c r="A495" i="4"/>
  <c r="B495" i="4"/>
  <c r="C495" i="4"/>
  <c r="D495" i="4"/>
  <c r="F495" i="4"/>
  <c r="A496" i="4"/>
  <c r="B496" i="4"/>
  <c r="C496" i="4"/>
  <c r="D496" i="4"/>
  <c r="F496" i="4"/>
  <c r="A497" i="4"/>
  <c r="B497" i="4"/>
  <c r="C497" i="4"/>
  <c r="D497" i="4"/>
  <c r="F497" i="4"/>
  <c r="A498" i="4"/>
  <c r="B498" i="4"/>
  <c r="C498" i="4"/>
  <c r="D498" i="4"/>
  <c r="F498" i="4"/>
  <c r="A499" i="4"/>
  <c r="B499" i="4"/>
  <c r="C499" i="4"/>
  <c r="D499" i="4"/>
  <c r="F499" i="4"/>
  <c r="A500" i="4"/>
  <c r="B500" i="4"/>
  <c r="C500" i="4"/>
  <c r="D500" i="4"/>
  <c r="F500" i="4"/>
  <c r="A501" i="4"/>
  <c r="B501" i="4"/>
  <c r="C501" i="4"/>
  <c r="D501" i="4"/>
  <c r="F501" i="4"/>
  <c r="F3" i="4"/>
  <c r="C3" i="4"/>
  <c r="B3" i="4"/>
  <c r="A3" i="4"/>
  <c r="D3" i="4"/>
  <c r="A4" i="17"/>
  <c r="B4" i="17"/>
  <c r="D4" i="17"/>
  <c r="F4" i="17"/>
  <c r="H4" i="17"/>
  <c r="A5" i="17"/>
  <c r="B5" i="17"/>
  <c r="D5" i="17"/>
  <c r="F5" i="17"/>
  <c r="H5" i="17"/>
  <c r="A6" i="17"/>
  <c r="B6" i="17"/>
  <c r="D6" i="17"/>
  <c r="F6" i="17"/>
  <c r="H6" i="17"/>
  <c r="A7" i="17"/>
  <c r="B7" i="17"/>
  <c r="D7" i="17"/>
  <c r="F7" i="17"/>
  <c r="H7" i="17"/>
  <c r="A8" i="17"/>
  <c r="B8" i="17"/>
  <c r="D8" i="17"/>
  <c r="F8" i="17"/>
  <c r="H8" i="17"/>
  <c r="A9" i="17"/>
  <c r="B9" i="17"/>
  <c r="D9" i="17"/>
  <c r="F9" i="17"/>
  <c r="H9" i="17"/>
  <c r="A10" i="17"/>
  <c r="B10" i="17"/>
  <c r="D10" i="17"/>
  <c r="F10" i="17"/>
  <c r="H10" i="17"/>
  <c r="A11" i="17"/>
  <c r="B11" i="17"/>
  <c r="D11" i="17"/>
  <c r="F11" i="17"/>
  <c r="H11" i="17"/>
  <c r="A12" i="17"/>
  <c r="B12" i="17"/>
  <c r="D12" i="17"/>
  <c r="F12" i="17"/>
  <c r="H12" i="17"/>
  <c r="A13" i="17"/>
  <c r="B13" i="17"/>
  <c r="D13" i="17"/>
  <c r="F13" i="17"/>
  <c r="H13" i="17"/>
  <c r="A14" i="17"/>
  <c r="B14" i="17"/>
  <c r="D14" i="17"/>
  <c r="F14" i="17"/>
  <c r="H14" i="17"/>
  <c r="A15" i="17"/>
  <c r="B15" i="17"/>
  <c r="D15" i="17"/>
  <c r="F15" i="17"/>
  <c r="H15" i="17"/>
  <c r="A16" i="17"/>
  <c r="B16" i="17"/>
  <c r="D16" i="17"/>
  <c r="F16" i="17"/>
  <c r="H16" i="17"/>
  <c r="A17" i="17"/>
  <c r="B17" i="17"/>
  <c r="D17" i="17"/>
  <c r="F17" i="17"/>
  <c r="H17" i="17"/>
  <c r="A18" i="17"/>
  <c r="B18" i="17"/>
  <c r="D18" i="17"/>
  <c r="F18" i="17"/>
  <c r="H18" i="17"/>
  <c r="A19" i="17"/>
  <c r="B19" i="17"/>
  <c r="D19" i="17"/>
  <c r="F19" i="17"/>
  <c r="H19" i="17"/>
  <c r="A20" i="17"/>
  <c r="B20" i="17"/>
  <c r="D20" i="17"/>
  <c r="F20" i="17"/>
  <c r="H20" i="17"/>
  <c r="A21" i="17"/>
  <c r="B21" i="17"/>
  <c r="D21" i="17"/>
  <c r="F21" i="17"/>
  <c r="H21" i="17"/>
  <c r="A22" i="17"/>
  <c r="B22" i="17"/>
  <c r="D22" i="17"/>
  <c r="F22" i="17"/>
  <c r="H22" i="17"/>
  <c r="A23" i="17"/>
  <c r="B23" i="17"/>
  <c r="D23" i="17"/>
  <c r="F23" i="17"/>
  <c r="H23" i="17"/>
  <c r="A24" i="17"/>
  <c r="B24" i="17"/>
  <c r="D24" i="17"/>
  <c r="F24" i="17"/>
  <c r="H24" i="17"/>
  <c r="A25" i="17"/>
  <c r="B25" i="17"/>
  <c r="D25" i="17"/>
  <c r="F25" i="17"/>
  <c r="H25" i="17"/>
  <c r="A26" i="17"/>
  <c r="B26" i="17"/>
  <c r="D26" i="17"/>
  <c r="F26" i="17"/>
  <c r="H26" i="17"/>
  <c r="A27" i="17"/>
  <c r="B27" i="17"/>
  <c r="D27" i="17"/>
  <c r="F27" i="17"/>
  <c r="H27" i="17"/>
  <c r="A28" i="17"/>
  <c r="B28" i="17"/>
  <c r="D28" i="17"/>
  <c r="F28" i="17"/>
  <c r="H28" i="17"/>
  <c r="A29" i="17"/>
  <c r="B29" i="17"/>
  <c r="D29" i="17"/>
  <c r="F29" i="17"/>
  <c r="H29" i="17"/>
  <c r="A30" i="17"/>
  <c r="B30" i="17"/>
  <c r="D30" i="17"/>
  <c r="F30" i="17"/>
  <c r="H30" i="17"/>
  <c r="A31" i="17"/>
  <c r="B31" i="17"/>
  <c r="D31" i="17"/>
  <c r="F31" i="17"/>
  <c r="H31" i="17"/>
  <c r="A32" i="17"/>
  <c r="B32" i="17"/>
  <c r="D32" i="17"/>
  <c r="F32" i="17"/>
  <c r="H32" i="17"/>
  <c r="A33" i="17"/>
  <c r="B33" i="17"/>
  <c r="D33" i="17"/>
  <c r="F33" i="17"/>
  <c r="H33" i="17"/>
  <c r="A34" i="17"/>
  <c r="B34" i="17"/>
  <c r="D34" i="17"/>
  <c r="F34" i="17"/>
  <c r="H34" i="17"/>
  <c r="A35" i="17"/>
  <c r="B35" i="17"/>
  <c r="D35" i="17"/>
  <c r="F35" i="17"/>
  <c r="H35" i="17"/>
  <c r="A36" i="17"/>
  <c r="B36" i="17"/>
  <c r="D36" i="17"/>
  <c r="F36" i="17"/>
  <c r="H36" i="17"/>
  <c r="A37" i="17"/>
  <c r="B37" i="17"/>
  <c r="D37" i="17"/>
  <c r="F37" i="17"/>
  <c r="H37" i="17"/>
  <c r="A38" i="17"/>
  <c r="B38" i="17"/>
  <c r="D38" i="17"/>
  <c r="F38" i="17"/>
  <c r="H38" i="17"/>
  <c r="A39" i="17"/>
  <c r="B39" i="17"/>
  <c r="D39" i="17"/>
  <c r="F39" i="17"/>
  <c r="H39" i="17"/>
  <c r="A40" i="17"/>
  <c r="B40" i="17"/>
  <c r="D40" i="17"/>
  <c r="F40" i="17"/>
  <c r="H40" i="17"/>
  <c r="A41" i="17"/>
  <c r="B41" i="17"/>
  <c r="D41" i="17"/>
  <c r="F41" i="17"/>
  <c r="H41" i="17"/>
  <c r="A42" i="17"/>
  <c r="B42" i="17"/>
  <c r="D42" i="17"/>
  <c r="F42" i="17"/>
  <c r="H42" i="17"/>
  <c r="A43" i="17"/>
  <c r="B43" i="17"/>
  <c r="D43" i="17"/>
  <c r="F43" i="17"/>
  <c r="H43" i="17"/>
  <c r="A44" i="17"/>
  <c r="B44" i="17"/>
  <c r="D44" i="17"/>
  <c r="F44" i="17"/>
  <c r="H44" i="17"/>
  <c r="A45" i="17"/>
  <c r="B45" i="17"/>
  <c r="D45" i="17"/>
  <c r="F45" i="17"/>
  <c r="H45" i="17"/>
  <c r="A46" i="17"/>
  <c r="B46" i="17"/>
  <c r="D46" i="17"/>
  <c r="F46" i="17"/>
  <c r="H46" i="17"/>
  <c r="A47" i="17"/>
  <c r="B47" i="17"/>
  <c r="D47" i="17"/>
  <c r="F47" i="17"/>
  <c r="H47" i="17"/>
  <c r="A48" i="17"/>
  <c r="B48" i="17"/>
  <c r="D48" i="17"/>
  <c r="F48" i="17"/>
  <c r="H48" i="17"/>
  <c r="A49" i="17"/>
  <c r="B49" i="17"/>
  <c r="D49" i="17"/>
  <c r="F49" i="17"/>
  <c r="H49" i="17"/>
  <c r="A50" i="17"/>
  <c r="B50" i="17"/>
  <c r="D50" i="17"/>
  <c r="F50" i="17"/>
  <c r="H50" i="17"/>
  <c r="A51" i="17"/>
  <c r="B51" i="17"/>
  <c r="D51" i="17"/>
  <c r="F51" i="17"/>
  <c r="H51" i="17"/>
  <c r="A52" i="17"/>
  <c r="B52" i="17"/>
  <c r="D52" i="17"/>
  <c r="F52" i="17"/>
  <c r="H52" i="17"/>
  <c r="A53" i="17"/>
  <c r="B53" i="17"/>
  <c r="D53" i="17"/>
  <c r="F53" i="17"/>
  <c r="H53" i="17"/>
  <c r="A54" i="17"/>
  <c r="B54" i="17"/>
  <c r="D54" i="17"/>
  <c r="F54" i="17"/>
  <c r="H54" i="17"/>
  <c r="A55" i="17"/>
  <c r="B55" i="17"/>
  <c r="D55" i="17"/>
  <c r="F55" i="17"/>
  <c r="H55" i="17"/>
  <c r="A56" i="17"/>
  <c r="B56" i="17"/>
  <c r="D56" i="17"/>
  <c r="F56" i="17"/>
  <c r="H56" i="17"/>
  <c r="A57" i="17"/>
  <c r="B57" i="17"/>
  <c r="D57" i="17"/>
  <c r="F57" i="17"/>
  <c r="H57" i="17"/>
  <c r="A58" i="17"/>
  <c r="B58" i="17"/>
  <c r="D58" i="17"/>
  <c r="F58" i="17"/>
  <c r="H58" i="17"/>
  <c r="A59" i="17"/>
  <c r="B59" i="17"/>
  <c r="D59" i="17"/>
  <c r="F59" i="17"/>
  <c r="H59" i="17"/>
  <c r="A60" i="17"/>
  <c r="B60" i="17"/>
  <c r="D60" i="17"/>
  <c r="F60" i="17"/>
  <c r="H60" i="17"/>
  <c r="A61" i="17"/>
  <c r="B61" i="17"/>
  <c r="D61" i="17"/>
  <c r="F61" i="17"/>
  <c r="H61" i="17"/>
  <c r="A62" i="17"/>
  <c r="B62" i="17"/>
  <c r="D62" i="17"/>
  <c r="F62" i="17"/>
  <c r="H62" i="17"/>
  <c r="A63" i="17"/>
  <c r="B63" i="17"/>
  <c r="D63" i="17"/>
  <c r="F63" i="17"/>
  <c r="H63" i="17"/>
  <c r="A64" i="17"/>
  <c r="B64" i="17"/>
  <c r="D64" i="17"/>
  <c r="F64" i="17"/>
  <c r="H64" i="17"/>
  <c r="A65" i="17"/>
  <c r="B65" i="17"/>
  <c r="D65" i="17"/>
  <c r="F65" i="17"/>
  <c r="H65" i="17"/>
  <c r="A66" i="17"/>
  <c r="B66" i="17"/>
  <c r="D66" i="17"/>
  <c r="F66" i="17"/>
  <c r="H66" i="17"/>
  <c r="A67" i="17"/>
  <c r="B67" i="17"/>
  <c r="D67" i="17"/>
  <c r="F67" i="17"/>
  <c r="H67" i="17"/>
  <c r="A68" i="17"/>
  <c r="B68" i="17"/>
  <c r="D68" i="17"/>
  <c r="F68" i="17"/>
  <c r="H68" i="17"/>
  <c r="A69" i="17"/>
  <c r="B69" i="17"/>
  <c r="D69" i="17"/>
  <c r="F69" i="17"/>
  <c r="H69" i="17"/>
  <c r="A70" i="17"/>
  <c r="B70" i="17"/>
  <c r="D70" i="17"/>
  <c r="F70" i="17"/>
  <c r="H70" i="17"/>
  <c r="A71" i="17"/>
  <c r="B71" i="17"/>
  <c r="D71" i="17"/>
  <c r="F71" i="17"/>
  <c r="H71" i="17"/>
  <c r="A72" i="17"/>
  <c r="B72" i="17"/>
  <c r="D72" i="17"/>
  <c r="F72" i="17"/>
  <c r="H72" i="17"/>
  <c r="A73" i="17"/>
  <c r="B73" i="17"/>
  <c r="D73" i="17"/>
  <c r="F73" i="17"/>
  <c r="H73" i="17"/>
  <c r="A74" i="17"/>
  <c r="B74" i="17"/>
  <c r="D74" i="17"/>
  <c r="F74" i="17"/>
  <c r="H74" i="17"/>
  <c r="A75" i="17"/>
  <c r="B75" i="17"/>
  <c r="D75" i="17"/>
  <c r="F75" i="17"/>
  <c r="H75" i="17"/>
  <c r="A76" i="17"/>
  <c r="B76" i="17"/>
  <c r="D76" i="17"/>
  <c r="F76" i="17"/>
  <c r="H76" i="17"/>
  <c r="A77" i="17"/>
  <c r="B77" i="17"/>
  <c r="D77" i="17"/>
  <c r="F77" i="17"/>
  <c r="H77" i="17"/>
  <c r="A78" i="17"/>
  <c r="B78" i="17"/>
  <c r="D78" i="17"/>
  <c r="F78" i="17"/>
  <c r="H78" i="17"/>
  <c r="A79" i="17"/>
  <c r="B79" i="17"/>
  <c r="D79" i="17"/>
  <c r="F79" i="17"/>
  <c r="H79" i="17"/>
  <c r="A80" i="17"/>
  <c r="B80" i="17"/>
  <c r="D80" i="17"/>
  <c r="F80" i="17"/>
  <c r="H80" i="17"/>
  <c r="A81" i="17"/>
  <c r="B81" i="17"/>
  <c r="D81" i="17"/>
  <c r="F81" i="17"/>
  <c r="H81" i="17"/>
  <c r="A82" i="17"/>
  <c r="B82" i="17"/>
  <c r="D82" i="17"/>
  <c r="F82" i="17"/>
  <c r="H82" i="17"/>
  <c r="A83" i="17"/>
  <c r="B83" i="17"/>
  <c r="D83" i="17"/>
  <c r="F83" i="17"/>
  <c r="H83" i="17"/>
  <c r="A84" i="17"/>
  <c r="B84" i="17"/>
  <c r="D84" i="17"/>
  <c r="F84" i="17"/>
  <c r="H84" i="17"/>
  <c r="A85" i="17"/>
  <c r="B85" i="17"/>
  <c r="D85" i="17"/>
  <c r="F85" i="17"/>
  <c r="H85" i="17"/>
  <c r="A86" i="17"/>
  <c r="B86" i="17"/>
  <c r="D86" i="17"/>
  <c r="F86" i="17"/>
  <c r="H86" i="17"/>
  <c r="A87" i="17"/>
  <c r="B87" i="17"/>
  <c r="D87" i="17"/>
  <c r="F87" i="17"/>
  <c r="H87" i="17"/>
  <c r="A88" i="17"/>
  <c r="B88" i="17"/>
  <c r="D88" i="17"/>
  <c r="F88" i="17"/>
  <c r="H88" i="17"/>
  <c r="A89" i="17"/>
  <c r="B89" i="17"/>
  <c r="D89" i="17"/>
  <c r="F89" i="17"/>
  <c r="H89" i="17"/>
  <c r="A90" i="17"/>
  <c r="B90" i="17"/>
  <c r="D90" i="17"/>
  <c r="F90" i="17"/>
  <c r="H90" i="17"/>
  <c r="A91" i="17"/>
  <c r="B91" i="17"/>
  <c r="D91" i="17"/>
  <c r="F91" i="17"/>
  <c r="H91" i="17"/>
  <c r="A92" i="17"/>
  <c r="B92" i="17"/>
  <c r="D92" i="17"/>
  <c r="F92" i="17"/>
  <c r="H92" i="17"/>
  <c r="A93" i="17"/>
  <c r="B93" i="17"/>
  <c r="D93" i="17"/>
  <c r="F93" i="17"/>
  <c r="H93" i="17"/>
  <c r="A94" i="17"/>
  <c r="B94" i="17"/>
  <c r="D94" i="17"/>
  <c r="F94" i="17"/>
  <c r="H94" i="17"/>
  <c r="A95" i="17"/>
  <c r="B95" i="17"/>
  <c r="D95" i="17"/>
  <c r="F95" i="17"/>
  <c r="H95" i="17"/>
  <c r="A96" i="17"/>
  <c r="B96" i="17"/>
  <c r="D96" i="17"/>
  <c r="F96" i="17"/>
  <c r="H96" i="17"/>
  <c r="A97" i="17"/>
  <c r="B97" i="17"/>
  <c r="D97" i="17"/>
  <c r="F97" i="17"/>
  <c r="H97" i="17"/>
  <c r="A98" i="17"/>
  <c r="B98" i="17"/>
  <c r="D98" i="17"/>
  <c r="F98" i="17"/>
  <c r="H98" i="17"/>
  <c r="A99" i="17"/>
  <c r="B99" i="17"/>
  <c r="D99" i="17"/>
  <c r="F99" i="17"/>
  <c r="H99" i="17"/>
  <c r="A100" i="17"/>
  <c r="B100" i="17"/>
  <c r="D100" i="17"/>
  <c r="F100" i="17"/>
  <c r="H100" i="17"/>
  <c r="A101" i="17"/>
  <c r="B101" i="17"/>
  <c r="D101" i="17"/>
  <c r="F101" i="17"/>
  <c r="H101" i="17"/>
  <c r="A102" i="17"/>
  <c r="B102" i="17"/>
  <c r="D102" i="17"/>
  <c r="F102" i="17"/>
  <c r="H102" i="17"/>
  <c r="A103" i="17"/>
  <c r="B103" i="17"/>
  <c r="D103" i="17"/>
  <c r="F103" i="17"/>
  <c r="H103" i="17"/>
  <c r="A104" i="17"/>
  <c r="B104" i="17"/>
  <c r="D104" i="17"/>
  <c r="F104" i="17"/>
  <c r="H104" i="17"/>
  <c r="A105" i="17"/>
  <c r="B105" i="17"/>
  <c r="D105" i="17"/>
  <c r="F105" i="17"/>
  <c r="H105" i="17"/>
  <c r="A106" i="17"/>
  <c r="B106" i="17"/>
  <c r="D106" i="17"/>
  <c r="F106" i="17"/>
  <c r="H106" i="17"/>
  <c r="A107" i="17"/>
  <c r="B107" i="17"/>
  <c r="D107" i="17"/>
  <c r="F107" i="17"/>
  <c r="H107" i="17"/>
  <c r="A108" i="17"/>
  <c r="B108" i="17"/>
  <c r="D108" i="17"/>
  <c r="F108" i="17"/>
  <c r="H108" i="17"/>
  <c r="A109" i="17"/>
  <c r="B109" i="17"/>
  <c r="D109" i="17"/>
  <c r="F109" i="17"/>
  <c r="H109" i="17"/>
  <c r="A110" i="17"/>
  <c r="B110" i="17"/>
  <c r="D110" i="17"/>
  <c r="F110" i="17"/>
  <c r="H110" i="17"/>
  <c r="A111" i="17"/>
  <c r="B111" i="17"/>
  <c r="D111" i="17"/>
  <c r="F111" i="17"/>
  <c r="H111" i="17"/>
  <c r="A112" i="17"/>
  <c r="B112" i="17"/>
  <c r="D112" i="17"/>
  <c r="F112" i="17"/>
  <c r="H112" i="17"/>
  <c r="A113" i="17"/>
  <c r="B113" i="17"/>
  <c r="D113" i="17"/>
  <c r="F113" i="17"/>
  <c r="H113" i="17"/>
  <c r="A114" i="17"/>
  <c r="B114" i="17"/>
  <c r="D114" i="17"/>
  <c r="F114" i="17"/>
  <c r="H114" i="17"/>
  <c r="A115" i="17"/>
  <c r="B115" i="17"/>
  <c r="D115" i="17"/>
  <c r="F115" i="17"/>
  <c r="H115" i="17"/>
  <c r="A116" i="17"/>
  <c r="B116" i="17"/>
  <c r="D116" i="17"/>
  <c r="F116" i="17"/>
  <c r="H116" i="17"/>
  <c r="A117" i="17"/>
  <c r="B117" i="17"/>
  <c r="D117" i="17"/>
  <c r="F117" i="17"/>
  <c r="H117" i="17"/>
  <c r="A118" i="17"/>
  <c r="B118" i="17"/>
  <c r="D118" i="17"/>
  <c r="F118" i="17"/>
  <c r="H118" i="17"/>
  <c r="A119" i="17"/>
  <c r="B119" i="17"/>
  <c r="D119" i="17"/>
  <c r="F119" i="17"/>
  <c r="H119" i="17"/>
  <c r="A120" i="17"/>
  <c r="B120" i="17"/>
  <c r="D120" i="17"/>
  <c r="F120" i="17"/>
  <c r="H120" i="17"/>
  <c r="A121" i="17"/>
  <c r="B121" i="17"/>
  <c r="D121" i="17"/>
  <c r="F121" i="17"/>
  <c r="H121" i="17"/>
  <c r="A122" i="17"/>
  <c r="B122" i="17"/>
  <c r="D122" i="17"/>
  <c r="F122" i="17"/>
  <c r="H122" i="17"/>
  <c r="A123" i="17"/>
  <c r="B123" i="17"/>
  <c r="D123" i="17"/>
  <c r="F123" i="17"/>
  <c r="H123" i="17"/>
  <c r="A124" i="17"/>
  <c r="B124" i="17"/>
  <c r="D124" i="17"/>
  <c r="F124" i="17"/>
  <c r="H124" i="17"/>
  <c r="A125" i="17"/>
  <c r="B125" i="17"/>
  <c r="D125" i="17"/>
  <c r="F125" i="17"/>
  <c r="H125" i="17"/>
  <c r="A126" i="17"/>
  <c r="B126" i="17"/>
  <c r="D126" i="17"/>
  <c r="F126" i="17"/>
  <c r="H126" i="17"/>
  <c r="A127" i="17"/>
  <c r="B127" i="17"/>
  <c r="D127" i="17"/>
  <c r="F127" i="17"/>
  <c r="H127" i="17"/>
  <c r="A128" i="17"/>
  <c r="B128" i="17"/>
  <c r="D128" i="17"/>
  <c r="F128" i="17"/>
  <c r="H128" i="17"/>
  <c r="A129" i="17"/>
  <c r="B129" i="17"/>
  <c r="D129" i="17"/>
  <c r="F129" i="17"/>
  <c r="H129" i="17"/>
  <c r="A130" i="17"/>
  <c r="B130" i="17"/>
  <c r="D130" i="17"/>
  <c r="F130" i="17"/>
  <c r="H130" i="17"/>
  <c r="A131" i="17"/>
  <c r="B131" i="17"/>
  <c r="D131" i="17"/>
  <c r="F131" i="17"/>
  <c r="H131" i="17"/>
  <c r="A132" i="17"/>
  <c r="B132" i="17"/>
  <c r="D132" i="17"/>
  <c r="F132" i="17"/>
  <c r="H132" i="17"/>
  <c r="A133" i="17"/>
  <c r="B133" i="17"/>
  <c r="D133" i="17"/>
  <c r="F133" i="17"/>
  <c r="H133" i="17"/>
  <c r="A134" i="17"/>
  <c r="B134" i="17"/>
  <c r="D134" i="17"/>
  <c r="F134" i="17"/>
  <c r="H134" i="17"/>
  <c r="A135" i="17"/>
  <c r="B135" i="17"/>
  <c r="D135" i="17"/>
  <c r="F135" i="17"/>
  <c r="H135" i="17"/>
  <c r="A136" i="17"/>
  <c r="B136" i="17"/>
  <c r="D136" i="17"/>
  <c r="F136" i="17"/>
  <c r="H136" i="17"/>
  <c r="A137" i="17"/>
  <c r="B137" i="17"/>
  <c r="D137" i="17"/>
  <c r="F137" i="17"/>
  <c r="H137" i="17"/>
  <c r="A138" i="17"/>
  <c r="B138" i="17"/>
  <c r="D138" i="17"/>
  <c r="F138" i="17"/>
  <c r="H138" i="17"/>
  <c r="A139" i="17"/>
  <c r="B139" i="17"/>
  <c r="D139" i="17"/>
  <c r="F139" i="17"/>
  <c r="H139" i="17"/>
  <c r="A140" i="17"/>
  <c r="B140" i="17"/>
  <c r="D140" i="17"/>
  <c r="F140" i="17"/>
  <c r="H140" i="17"/>
  <c r="A141" i="17"/>
  <c r="B141" i="17"/>
  <c r="D141" i="17"/>
  <c r="F141" i="17"/>
  <c r="H141" i="17"/>
  <c r="A142" i="17"/>
  <c r="B142" i="17"/>
  <c r="D142" i="17"/>
  <c r="F142" i="17"/>
  <c r="H142" i="17"/>
  <c r="A143" i="17"/>
  <c r="B143" i="17"/>
  <c r="D143" i="17"/>
  <c r="F143" i="17"/>
  <c r="H143" i="17"/>
  <c r="A144" i="17"/>
  <c r="B144" i="17"/>
  <c r="D144" i="17"/>
  <c r="F144" i="17"/>
  <c r="H144" i="17"/>
  <c r="A145" i="17"/>
  <c r="B145" i="17"/>
  <c r="D145" i="17"/>
  <c r="F145" i="17"/>
  <c r="H145" i="17"/>
  <c r="A146" i="17"/>
  <c r="B146" i="17"/>
  <c r="D146" i="17"/>
  <c r="F146" i="17"/>
  <c r="H146" i="17"/>
  <c r="A147" i="17"/>
  <c r="B147" i="17"/>
  <c r="D147" i="17"/>
  <c r="F147" i="17"/>
  <c r="H147" i="17"/>
  <c r="A148" i="17"/>
  <c r="B148" i="17"/>
  <c r="D148" i="17"/>
  <c r="F148" i="17"/>
  <c r="H148" i="17"/>
  <c r="A149" i="17"/>
  <c r="B149" i="17"/>
  <c r="D149" i="17"/>
  <c r="F149" i="17"/>
  <c r="H149" i="17"/>
  <c r="A150" i="17"/>
  <c r="B150" i="17"/>
  <c r="D150" i="17"/>
  <c r="F150" i="17"/>
  <c r="H150" i="17"/>
  <c r="A151" i="17"/>
  <c r="B151" i="17"/>
  <c r="D151" i="17"/>
  <c r="F151" i="17"/>
  <c r="H151" i="17"/>
  <c r="A152" i="17"/>
  <c r="B152" i="17"/>
  <c r="D152" i="17"/>
  <c r="F152" i="17"/>
  <c r="H152" i="17"/>
  <c r="A153" i="17"/>
  <c r="B153" i="17"/>
  <c r="D153" i="17"/>
  <c r="F153" i="17"/>
  <c r="H153" i="17"/>
  <c r="A154" i="17"/>
  <c r="B154" i="17"/>
  <c r="D154" i="17"/>
  <c r="F154" i="17"/>
  <c r="H154" i="17"/>
  <c r="A155" i="17"/>
  <c r="B155" i="17"/>
  <c r="D155" i="17"/>
  <c r="F155" i="17"/>
  <c r="H155" i="17"/>
  <c r="A156" i="17"/>
  <c r="B156" i="17"/>
  <c r="D156" i="17"/>
  <c r="F156" i="17"/>
  <c r="H156" i="17"/>
  <c r="A157" i="17"/>
  <c r="B157" i="17"/>
  <c r="D157" i="17"/>
  <c r="F157" i="17"/>
  <c r="H157" i="17"/>
  <c r="A158" i="17"/>
  <c r="B158" i="17"/>
  <c r="D158" i="17"/>
  <c r="F158" i="17"/>
  <c r="H158" i="17"/>
  <c r="A159" i="17"/>
  <c r="B159" i="17"/>
  <c r="D159" i="17"/>
  <c r="F159" i="17"/>
  <c r="H159" i="17"/>
  <c r="A160" i="17"/>
  <c r="B160" i="17"/>
  <c r="D160" i="17"/>
  <c r="F160" i="17"/>
  <c r="H160" i="17"/>
  <c r="A161" i="17"/>
  <c r="B161" i="17"/>
  <c r="D161" i="17"/>
  <c r="F161" i="17"/>
  <c r="H161" i="17"/>
  <c r="A162" i="17"/>
  <c r="B162" i="17"/>
  <c r="D162" i="17"/>
  <c r="F162" i="17"/>
  <c r="H162" i="17"/>
  <c r="A163" i="17"/>
  <c r="B163" i="17"/>
  <c r="D163" i="17"/>
  <c r="F163" i="17"/>
  <c r="H163" i="17"/>
  <c r="A164" i="17"/>
  <c r="B164" i="17"/>
  <c r="D164" i="17"/>
  <c r="F164" i="17"/>
  <c r="H164" i="17"/>
  <c r="A165" i="17"/>
  <c r="B165" i="17"/>
  <c r="D165" i="17"/>
  <c r="F165" i="17"/>
  <c r="H165" i="17"/>
  <c r="A166" i="17"/>
  <c r="B166" i="17"/>
  <c r="D166" i="17"/>
  <c r="F166" i="17"/>
  <c r="H166" i="17"/>
  <c r="A167" i="17"/>
  <c r="B167" i="17"/>
  <c r="D167" i="17"/>
  <c r="F167" i="17"/>
  <c r="H167" i="17"/>
  <c r="A168" i="17"/>
  <c r="B168" i="17"/>
  <c r="D168" i="17"/>
  <c r="F168" i="17"/>
  <c r="H168" i="17"/>
  <c r="A169" i="17"/>
  <c r="B169" i="17"/>
  <c r="D169" i="17"/>
  <c r="F169" i="17"/>
  <c r="H169" i="17"/>
  <c r="A170" i="17"/>
  <c r="B170" i="17"/>
  <c r="D170" i="17"/>
  <c r="F170" i="17"/>
  <c r="H170" i="17"/>
  <c r="A171" i="17"/>
  <c r="B171" i="17"/>
  <c r="D171" i="17"/>
  <c r="F171" i="17"/>
  <c r="H171" i="17"/>
  <c r="A172" i="17"/>
  <c r="B172" i="17"/>
  <c r="D172" i="17"/>
  <c r="F172" i="17"/>
  <c r="H172" i="17"/>
  <c r="A173" i="17"/>
  <c r="B173" i="17"/>
  <c r="D173" i="17"/>
  <c r="F173" i="17"/>
  <c r="H173" i="17"/>
  <c r="A174" i="17"/>
  <c r="B174" i="17"/>
  <c r="D174" i="17"/>
  <c r="F174" i="17"/>
  <c r="H174" i="17"/>
  <c r="A175" i="17"/>
  <c r="B175" i="17"/>
  <c r="D175" i="17"/>
  <c r="F175" i="17"/>
  <c r="H175" i="17"/>
  <c r="A176" i="17"/>
  <c r="B176" i="17"/>
  <c r="D176" i="17"/>
  <c r="F176" i="17"/>
  <c r="H176" i="17"/>
  <c r="A177" i="17"/>
  <c r="B177" i="17"/>
  <c r="D177" i="17"/>
  <c r="F177" i="17"/>
  <c r="H177" i="17"/>
  <c r="A178" i="17"/>
  <c r="B178" i="17"/>
  <c r="D178" i="17"/>
  <c r="F178" i="17"/>
  <c r="H178" i="17"/>
  <c r="A179" i="17"/>
  <c r="B179" i="17"/>
  <c r="D179" i="17"/>
  <c r="F179" i="17"/>
  <c r="H179" i="17"/>
  <c r="A180" i="17"/>
  <c r="B180" i="17"/>
  <c r="D180" i="17"/>
  <c r="F180" i="17"/>
  <c r="H180" i="17"/>
  <c r="A181" i="17"/>
  <c r="B181" i="17"/>
  <c r="D181" i="17"/>
  <c r="F181" i="17"/>
  <c r="H181" i="17"/>
  <c r="A182" i="17"/>
  <c r="B182" i="17"/>
  <c r="D182" i="17"/>
  <c r="F182" i="17"/>
  <c r="H182" i="17"/>
  <c r="A183" i="17"/>
  <c r="B183" i="17"/>
  <c r="D183" i="17"/>
  <c r="F183" i="17"/>
  <c r="H183" i="17"/>
  <c r="A184" i="17"/>
  <c r="B184" i="17"/>
  <c r="D184" i="17"/>
  <c r="F184" i="17"/>
  <c r="H184" i="17"/>
  <c r="A185" i="17"/>
  <c r="B185" i="17"/>
  <c r="D185" i="17"/>
  <c r="F185" i="17"/>
  <c r="H185" i="17"/>
  <c r="A186" i="17"/>
  <c r="B186" i="17"/>
  <c r="D186" i="17"/>
  <c r="F186" i="17"/>
  <c r="H186" i="17"/>
  <c r="A187" i="17"/>
  <c r="B187" i="17"/>
  <c r="D187" i="17"/>
  <c r="F187" i="17"/>
  <c r="H187" i="17"/>
  <c r="A188" i="17"/>
  <c r="B188" i="17"/>
  <c r="D188" i="17"/>
  <c r="F188" i="17"/>
  <c r="H188" i="17"/>
  <c r="A189" i="17"/>
  <c r="B189" i="17"/>
  <c r="D189" i="17"/>
  <c r="F189" i="17"/>
  <c r="H189" i="17"/>
  <c r="A190" i="17"/>
  <c r="B190" i="17"/>
  <c r="D190" i="17"/>
  <c r="F190" i="17"/>
  <c r="H190" i="17"/>
  <c r="A191" i="17"/>
  <c r="B191" i="17"/>
  <c r="D191" i="17"/>
  <c r="F191" i="17"/>
  <c r="H191" i="17"/>
  <c r="A192" i="17"/>
  <c r="B192" i="17"/>
  <c r="D192" i="17"/>
  <c r="F192" i="17"/>
  <c r="H192" i="17"/>
  <c r="A193" i="17"/>
  <c r="B193" i="17"/>
  <c r="D193" i="17"/>
  <c r="F193" i="17"/>
  <c r="H193" i="17"/>
  <c r="A194" i="17"/>
  <c r="B194" i="17"/>
  <c r="D194" i="17"/>
  <c r="F194" i="17"/>
  <c r="H194" i="17"/>
  <c r="A195" i="17"/>
  <c r="B195" i="17"/>
  <c r="D195" i="17"/>
  <c r="F195" i="17"/>
  <c r="H195" i="17"/>
  <c r="A196" i="17"/>
  <c r="B196" i="17"/>
  <c r="D196" i="17"/>
  <c r="F196" i="17"/>
  <c r="H196" i="17"/>
  <c r="A197" i="17"/>
  <c r="B197" i="17"/>
  <c r="D197" i="17"/>
  <c r="F197" i="17"/>
  <c r="H197" i="17"/>
  <c r="A198" i="17"/>
  <c r="B198" i="17"/>
  <c r="D198" i="17"/>
  <c r="F198" i="17"/>
  <c r="H198" i="17"/>
  <c r="A199" i="17"/>
  <c r="B199" i="17"/>
  <c r="D199" i="17"/>
  <c r="F199" i="17"/>
  <c r="H199" i="17"/>
  <c r="A200" i="17"/>
  <c r="B200" i="17"/>
  <c r="D200" i="17"/>
  <c r="F200" i="17"/>
  <c r="H200" i="17"/>
  <c r="A201" i="17"/>
  <c r="B201" i="17"/>
  <c r="D201" i="17"/>
  <c r="F201" i="17"/>
  <c r="H201" i="17"/>
  <c r="A202" i="17"/>
  <c r="B202" i="17"/>
  <c r="D202" i="17"/>
  <c r="F202" i="17"/>
  <c r="H202" i="17"/>
  <c r="A203" i="17"/>
  <c r="B203" i="17"/>
  <c r="D203" i="17"/>
  <c r="F203" i="17"/>
  <c r="H203" i="17"/>
  <c r="A204" i="17"/>
  <c r="B204" i="17"/>
  <c r="D204" i="17"/>
  <c r="F204" i="17"/>
  <c r="H204" i="17"/>
  <c r="A205" i="17"/>
  <c r="B205" i="17"/>
  <c r="D205" i="17"/>
  <c r="F205" i="17"/>
  <c r="H205" i="17"/>
  <c r="A206" i="17"/>
  <c r="B206" i="17"/>
  <c r="D206" i="17"/>
  <c r="F206" i="17"/>
  <c r="H206" i="17"/>
  <c r="A207" i="17"/>
  <c r="B207" i="17"/>
  <c r="D207" i="17"/>
  <c r="F207" i="17"/>
  <c r="H207" i="17"/>
  <c r="A208" i="17"/>
  <c r="B208" i="17"/>
  <c r="D208" i="17"/>
  <c r="F208" i="17"/>
  <c r="H208" i="17"/>
  <c r="A209" i="17"/>
  <c r="B209" i="17"/>
  <c r="D209" i="17"/>
  <c r="F209" i="17"/>
  <c r="H209" i="17"/>
  <c r="A210" i="17"/>
  <c r="B210" i="17"/>
  <c r="D210" i="17"/>
  <c r="F210" i="17"/>
  <c r="H210" i="17"/>
  <c r="A211" i="17"/>
  <c r="B211" i="17"/>
  <c r="D211" i="17"/>
  <c r="F211" i="17"/>
  <c r="H211" i="17"/>
  <c r="A212" i="17"/>
  <c r="B212" i="17"/>
  <c r="D212" i="17"/>
  <c r="F212" i="17"/>
  <c r="H212" i="17"/>
  <c r="A213" i="17"/>
  <c r="B213" i="17"/>
  <c r="D213" i="17"/>
  <c r="F213" i="17"/>
  <c r="H213" i="17"/>
  <c r="A214" i="17"/>
  <c r="B214" i="17"/>
  <c r="D214" i="17"/>
  <c r="F214" i="17"/>
  <c r="H214" i="17"/>
  <c r="A215" i="17"/>
  <c r="B215" i="17"/>
  <c r="D215" i="17"/>
  <c r="F215" i="17"/>
  <c r="H215" i="17"/>
  <c r="A216" i="17"/>
  <c r="B216" i="17"/>
  <c r="D216" i="17"/>
  <c r="F216" i="17"/>
  <c r="H216" i="17"/>
  <c r="A217" i="17"/>
  <c r="B217" i="17"/>
  <c r="D217" i="17"/>
  <c r="F217" i="17"/>
  <c r="H217" i="17"/>
  <c r="A218" i="17"/>
  <c r="B218" i="17"/>
  <c r="D218" i="17"/>
  <c r="F218" i="17"/>
  <c r="H218" i="17"/>
  <c r="A219" i="17"/>
  <c r="B219" i="17"/>
  <c r="D219" i="17"/>
  <c r="F219" i="17"/>
  <c r="H219" i="17"/>
  <c r="A220" i="17"/>
  <c r="B220" i="17"/>
  <c r="D220" i="17"/>
  <c r="F220" i="17"/>
  <c r="H220" i="17"/>
  <c r="A221" i="17"/>
  <c r="B221" i="17"/>
  <c r="D221" i="17"/>
  <c r="F221" i="17"/>
  <c r="H221" i="17"/>
  <c r="A222" i="17"/>
  <c r="B222" i="17"/>
  <c r="D222" i="17"/>
  <c r="F222" i="17"/>
  <c r="H222" i="17"/>
  <c r="A223" i="17"/>
  <c r="B223" i="17"/>
  <c r="D223" i="17"/>
  <c r="F223" i="17"/>
  <c r="H223" i="17"/>
  <c r="A224" i="17"/>
  <c r="B224" i="17"/>
  <c r="D224" i="17"/>
  <c r="F224" i="17"/>
  <c r="H224" i="17"/>
  <c r="A225" i="17"/>
  <c r="B225" i="17"/>
  <c r="D225" i="17"/>
  <c r="F225" i="17"/>
  <c r="H225" i="17"/>
  <c r="A226" i="17"/>
  <c r="B226" i="17"/>
  <c r="D226" i="17"/>
  <c r="F226" i="17"/>
  <c r="H226" i="17"/>
  <c r="A227" i="17"/>
  <c r="B227" i="17"/>
  <c r="D227" i="17"/>
  <c r="F227" i="17"/>
  <c r="H227" i="17"/>
  <c r="A228" i="17"/>
  <c r="B228" i="17"/>
  <c r="D228" i="17"/>
  <c r="F228" i="17"/>
  <c r="H228" i="17"/>
  <c r="A229" i="17"/>
  <c r="B229" i="17"/>
  <c r="D229" i="17"/>
  <c r="F229" i="17"/>
  <c r="H229" i="17"/>
  <c r="A230" i="17"/>
  <c r="B230" i="17"/>
  <c r="D230" i="17"/>
  <c r="F230" i="17"/>
  <c r="H230" i="17"/>
  <c r="A231" i="17"/>
  <c r="B231" i="17"/>
  <c r="D231" i="17"/>
  <c r="F231" i="17"/>
  <c r="H231" i="17"/>
  <c r="A232" i="17"/>
  <c r="B232" i="17"/>
  <c r="D232" i="17"/>
  <c r="F232" i="17"/>
  <c r="H232" i="17"/>
  <c r="A233" i="17"/>
  <c r="B233" i="17"/>
  <c r="D233" i="17"/>
  <c r="F233" i="17"/>
  <c r="H233" i="17"/>
  <c r="A234" i="17"/>
  <c r="B234" i="17"/>
  <c r="D234" i="17"/>
  <c r="F234" i="17"/>
  <c r="H234" i="17"/>
  <c r="A235" i="17"/>
  <c r="B235" i="17"/>
  <c r="D235" i="17"/>
  <c r="F235" i="17"/>
  <c r="H235" i="17"/>
  <c r="A236" i="17"/>
  <c r="B236" i="17"/>
  <c r="D236" i="17"/>
  <c r="F236" i="17"/>
  <c r="H236" i="17"/>
  <c r="A237" i="17"/>
  <c r="B237" i="17"/>
  <c r="D237" i="17"/>
  <c r="F237" i="17"/>
  <c r="H237" i="17"/>
  <c r="A238" i="17"/>
  <c r="B238" i="17"/>
  <c r="D238" i="17"/>
  <c r="F238" i="17"/>
  <c r="H238" i="17"/>
  <c r="A239" i="17"/>
  <c r="B239" i="17"/>
  <c r="D239" i="17"/>
  <c r="F239" i="17"/>
  <c r="H239" i="17"/>
  <c r="A240" i="17"/>
  <c r="B240" i="17"/>
  <c r="D240" i="17"/>
  <c r="F240" i="17"/>
  <c r="H240" i="17"/>
  <c r="A241" i="17"/>
  <c r="B241" i="17"/>
  <c r="D241" i="17"/>
  <c r="F241" i="17"/>
  <c r="H241" i="17"/>
  <c r="A242" i="17"/>
  <c r="B242" i="17"/>
  <c r="D242" i="17"/>
  <c r="F242" i="17"/>
  <c r="H242" i="17"/>
  <c r="A243" i="17"/>
  <c r="B243" i="17"/>
  <c r="D243" i="17"/>
  <c r="F243" i="17"/>
  <c r="H243" i="17"/>
  <c r="A244" i="17"/>
  <c r="B244" i="17"/>
  <c r="D244" i="17"/>
  <c r="F244" i="17"/>
  <c r="H244" i="17"/>
  <c r="A245" i="17"/>
  <c r="B245" i="17"/>
  <c r="D245" i="17"/>
  <c r="F245" i="17"/>
  <c r="H245" i="17"/>
  <c r="A246" i="17"/>
  <c r="B246" i="17"/>
  <c r="D246" i="17"/>
  <c r="F246" i="17"/>
  <c r="H246" i="17"/>
  <c r="A247" i="17"/>
  <c r="B247" i="17"/>
  <c r="D247" i="17"/>
  <c r="F247" i="17"/>
  <c r="H247" i="17"/>
  <c r="A248" i="17"/>
  <c r="B248" i="17"/>
  <c r="D248" i="17"/>
  <c r="F248" i="17"/>
  <c r="H248" i="17"/>
  <c r="A249" i="17"/>
  <c r="B249" i="17"/>
  <c r="D249" i="17"/>
  <c r="F249" i="17"/>
  <c r="H249" i="17"/>
  <c r="A250" i="17"/>
  <c r="B250" i="17"/>
  <c r="D250" i="17"/>
  <c r="F250" i="17"/>
  <c r="H250" i="17"/>
  <c r="A251" i="17"/>
  <c r="B251" i="17"/>
  <c r="D251" i="17"/>
  <c r="F251" i="17"/>
  <c r="H251" i="17"/>
  <c r="A252" i="17"/>
  <c r="B252" i="17"/>
  <c r="D252" i="17"/>
  <c r="F252" i="17"/>
  <c r="H252" i="17"/>
  <c r="A253" i="17"/>
  <c r="B253" i="17"/>
  <c r="D253" i="17"/>
  <c r="F253" i="17"/>
  <c r="H253" i="17"/>
  <c r="A254" i="17"/>
  <c r="B254" i="17"/>
  <c r="D254" i="17"/>
  <c r="F254" i="17"/>
  <c r="H254" i="17"/>
  <c r="A255" i="17"/>
  <c r="B255" i="17"/>
  <c r="D255" i="17"/>
  <c r="F255" i="17"/>
  <c r="H255" i="17"/>
  <c r="A256" i="17"/>
  <c r="B256" i="17"/>
  <c r="D256" i="17"/>
  <c r="F256" i="17"/>
  <c r="H256" i="17"/>
  <c r="A257" i="17"/>
  <c r="B257" i="17"/>
  <c r="D257" i="17"/>
  <c r="F257" i="17"/>
  <c r="H257" i="17"/>
  <c r="A258" i="17"/>
  <c r="B258" i="17"/>
  <c r="D258" i="17"/>
  <c r="F258" i="17"/>
  <c r="H258" i="17"/>
  <c r="A259" i="17"/>
  <c r="B259" i="17"/>
  <c r="D259" i="17"/>
  <c r="F259" i="17"/>
  <c r="H259" i="17"/>
  <c r="A260" i="17"/>
  <c r="B260" i="17"/>
  <c r="D260" i="17"/>
  <c r="F260" i="17"/>
  <c r="H260" i="17"/>
  <c r="A261" i="17"/>
  <c r="B261" i="17"/>
  <c r="D261" i="17"/>
  <c r="F261" i="17"/>
  <c r="H261" i="17"/>
  <c r="A262" i="17"/>
  <c r="B262" i="17"/>
  <c r="D262" i="17"/>
  <c r="F262" i="17"/>
  <c r="H262" i="17"/>
  <c r="A263" i="17"/>
  <c r="B263" i="17"/>
  <c r="D263" i="17"/>
  <c r="F263" i="17"/>
  <c r="H263" i="17"/>
  <c r="A264" i="17"/>
  <c r="B264" i="17"/>
  <c r="D264" i="17"/>
  <c r="F264" i="17"/>
  <c r="H264" i="17"/>
  <c r="A265" i="17"/>
  <c r="B265" i="17"/>
  <c r="D265" i="17"/>
  <c r="F265" i="17"/>
  <c r="H265" i="17"/>
  <c r="A266" i="17"/>
  <c r="B266" i="17"/>
  <c r="D266" i="17"/>
  <c r="F266" i="17"/>
  <c r="H266" i="17"/>
  <c r="A267" i="17"/>
  <c r="B267" i="17"/>
  <c r="D267" i="17"/>
  <c r="F267" i="17"/>
  <c r="H267" i="17"/>
  <c r="A268" i="17"/>
  <c r="B268" i="17"/>
  <c r="D268" i="17"/>
  <c r="F268" i="17"/>
  <c r="H268" i="17"/>
  <c r="A269" i="17"/>
  <c r="B269" i="17"/>
  <c r="D269" i="17"/>
  <c r="F269" i="17"/>
  <c r="H269" i="17"/>
  <c r="A270" i="17"/>
  <c r="B270" i="17"/>
  <c r="D270" i="17"/>
  <c r="F270" i="17"/>
  <c r="H270" i="17"/>
  <c r="A271" i="17"/>
  <c r="B271" i="17"/>
  <c r="D271" i="17"/>
  <c r="F271" i="17"/>
  <c r="H271" i="17"/>
  <c r="A272" i="17"/>
  <c r="B272" i="17"/>
  <c r="D272" i="17"/>
  <c r="F272" i="17"/>
  <c r="H272" i="17"/>
  <c r="A273" i="17"/>
  <c r="B273" i="17"/>
  <c r="D273" i="17"/>
  <c r="F273" i="17"/>
  <c r="H273" i="17"/>
  <c r="A274" i="17"/>
  <c r="B274" i="17"/>
  <c r="D274" i="17"/>
  <c r="F274" i="17"/>
  <c r="H274" i="17"/>
  <c r="A275" i="17"/>
  <c r="B275" i="17"/>
  <c r="D275" i="17"/>
  <c r="F275" i="17"/>
  <c r="H275" i="17"/>
  <c r="A276" i="17"/>
  <c r="B276" i="17"/>
  <c r="D276" i="17"/>
  <c r="F276" i="17"/>
  <c r="H276" i="17"/>
  <c r="A277" i="17"/>
  <c r="B277" i="17"/>
  <c r="D277" i="17"/>
  <c r="F277" i="17"/>
  <c r="H277" i="17"/>
  <c r="A278" i="17"/>
  <c r="B278" i="17"/>
  <c r="D278" i="17"/>
  <c r="F278" i="17"/>
  <c r="H278" i="17"/>
  <c r="A279" i="17"/>
  <c r="B279" i="17"/>
  <c r="D279" i="17"/>
  <c r="F279" i="17"/>
  <c r="H279" i="17"/>
  <c r="A280" i="17"/>
  <c r="B280" i="17"/>
  <c r="D280" i="17"/>
  <c r="F280" i="17"/>
  <c r="H280" i="17"/>
  <c r="A281" i="17"/>
  <c r="B281" i="17"/>
  <c r="D281" i="17"/>
  <c r="F281" i="17"/>
  <c r="H281" i="17"/>
  <c r="A282" i="17"/>
  <c r="B282" i="17"/>
  <c r="D282" i="17"/>
  <c r="F282" i="17"/>
  <c r="H282" i="17"/>
  <c r="A283" i="17"/>
  <c r="B283" i="17"/>
  <c r="D283" i="17"/>
  <c r="F283" i="17"/>
  <c r="H283" i="17"/>
  <c r="A284" i="17"/>
  <c r="B284" i="17"/>
  <c r="D284" i="17"/>
  <c r="F284" i="17"/>
  <c r="H284" i="17"/>
  <c r="A285" i="17"/>
  <c r="B285" i="17"/>
  <c r="D285" i="17"/>
  <c r="F285" i="17"/>
  <c r="H285" i="17"/>
  <c r="A286" i="17"/>
  <c r="B286" i="17"/>
  <c r="D286" i="17"/>
  <c r="F286" i="17"/>
  <c r="H286" i="17"/>
  <c r="A287" i="17"/>
  <c r="B287" i="17"/>
  <c r="D287" i="17"/>
  <c r="F287" i="17"/>
  <c r="H287" i="17"/>
  <c r="A288" i="17"/>
  <c r="B288" i="17"/>
  <c r="D288" i="17"/>
  <c r="F288" i="17"/>
  <c r="H288" i="17"/>
  <c r="A289" i="17"/>
  <c r="B289" i="17"/>
  <c r="D289" i="17"/>
  <c r="F289" i="17"/>
  <c r="H289" i="17"/>
  <c r="A290" i="17"/>
  <c r="B290" i="17"/>
  <c r="D290" i="17"/>
  <c r="F290" i="17"/>
  <c r="H290" i="17"/>
  <c r="A291" i="17"/>
  <c r="B291" i="17"/>
  <c r="D291" i="17"/>
  <c r="F291" i="17"/>
  <c r="H291" i="17"/>
  <c r="A292" i="17"/>
  <c r="B292" i="17"/>
  <c r="D292" i="17"/>
  <c r="F292" i="17"/>
  <c r="H292" i="17"/>
  <c r="A293" i="17"/>
  <c r="B293" i="17"/>
  <c r="D293" i="17"/>
  <c r="F293" i="17"/>
  <c r="H293" i="17"/>
  <c r="A294" i="17"/>
  <c r="B294" i="17"/>
  <c r="D294" i="17"/>
  <c r="F294" i="17"/>
  <c r="H294" i="17"/>
  <c r="A295" i="17"/>
  <c r="B295" i="17"/>
  <c r="D295" i="17"/>
  <c r="F295" i="17"/>
  <c r="H295" i="17"/>
  <c r="A296" i="17"/>
  <c r="B296" i="17"/>
  <c r="D296" i="17"/>
  <c r="F296" i="17"/>
  <c r="H296" i="17"/>
  <c r="A297" i="17"/>
  <c r="B297" i="17"/>
  <c r="D297" i="17"/>
  <c r="F297" i="17"/>
  <c r="H297" i="17"/>
  <c r="A298" i="17"/>
  <c r="B298" i="17"/>
  <c r="D298" i="17"/>
  <c r="F298" i="17"/>
  <c r="H298" i="17"/>
  <c r="A299" i="17"/>
  <c r="B299" i="17"/>
  <c r="D299" i="17"/>
  <c r="F299" i="17"/>
  <c r="H299" i="17"/>
  <c r="A300" i="17"/>
  <c r="B300" i="17"/>
  <c r="D300" i="17"/>
  <c r="F300" i="17"/>
  <c r="H300" i="17"/>
  <c r="A301" i="17"/>
  <c r="B301" i="17"/>
  <c r="D301" i="17"/>
  <c r="F301" i="17"/>
  <c r="H301" i="17"/>
  <c r="A302" i="17"/>
  <c r="B302" i="17"/>
  <c r="D302" i="17"/>
  <c r="F302" i="17"/>
  <c r="H302" i="17"/>
  <c r="A303" i="17"/>
  <c r="B303" i="17"/>
  <c r="D303" i="17"/>
  <c r="F303" i="17"/>
  <c r="H303" i="17"/>
  <c r="A304" i="17"/>
  <c r="B304" i="17"/>
  <c r="D304" i="17"/>
  <c r="F304" i="17"/>
  <c r="H304" i="17"/>
  <c r="A305" i="17"/>
  <c r="B305" i="17"/>
  <c r="D305" i="17"/>
  <c r="F305" i="17"/>
  <c r="H305" i="17"/>
  <c r="A306" i="17"/>
  <c r="B306" i="17"/>
  <c r="D306" i="17"/>
  <c r="F306" i="17"/>
  <c r="H306" i="17"/>
  <c r="A307" i="17"/>
  <c r="B307" i="17"/>
  <c r="D307" i="17"/>
  <c r="F307" i="17"/>
  <c r="H307" i="17"/>
  <c r="A308" i="17"/>
  <c r="B308" i="17"/>
  <c r="D308" i="17"/>
  <c r="F308" i="17"/>
  <c r="H308" i="17"/>
  <c r="A309" i="17"/>
  <c r="B309" i="17"/>
  <c r="D309" i="17"/>
  <c r="F309" i="17"/>
  <c r="H309" i="17"/>
  <c r="A310" i="17"/>
  <c r="B310" i="17"/>
  <c r="D310" i="17"/>
  <c r="F310" i="17"/>
  <c r="H310" i="17"/>
  <c r="A311" i="17"/>
  <c r="B311" i="17"/>
  <c r="D311" i="17"/>
  <c r="F311" i="17"/>
  <c r="H311" i="17"/>
  <c r="A312" i="17"/>
  <c r="B312" i="17"/>
  <c r="D312" i="17"/>
  <c r="F312" i="17"/>
  <c r="H312" i="17"/>
  <c r="A313" i="17"/>
  <c r="B313" i="17"/>
  <c r="D313" i="17"/>
  <c r="F313" i="17"/>
  <c r="H313" i="17"/>
  <c r="A314" i="17"/>
  <c r="B314" i="17"/>
  <c r="D314" i="17"/>
  <c r="F314" i="17"/>
  <c r="H314" i="17"/>
  <c r="A315" i="17"/>
  <c r="B315" i="17"/>
  <c r="D315" i="17"/>
  <c r="F315" i="17"/>
  <c r="H315" i="17"/>
  <c r="A316" i="17"/>
  <c r="B316" i="17"/>
  <c r="D316" i="17"/>
  <c r="F316" i="17"/>
  <c r="H316" i="17"/>
  <c r="A317" i="17"/>
  <c r="B317" i="17"/>
  <c r="D317" i="17"/>
  <c r="F317" i="17"/>
  <c r="H317" i="17"/>
  <c r="A318" i="17"/>
  <c r="B318" i="17"/>
  <c r="D318" i="17"/>
  <c r="F318" i="17"/>
  <c r="H318" i="17"/>
  <c r="A319" i="17"/>
  <c r="B319" i="17"/>
  <c r="D319" i="17"/>
  <c r="F319" i="17"/>
  <c r="H319" i="17"/>
  <c r="A320" i="17"/>
  <c r="B320" i="17"/>
  <c r="D320" i="17"/>
  <c r="F320" i="17"/>
  <c r="H320" i="17"/>
  <c r="A321" i="17"/>
  <c r="B321" i="17"/>
  <c r="D321" i="17"/>
  <c r="F321" i="17"/>
  <c r="H321" i="17"/>
  <c r="A322" i="17"/>
  <c r="B322" i="17"/>
  <c r="D322" i="17"/>
  <c r="F322" i="17"/>
  <c r="H322" i="17"/>
  <c r="A323" i="17"/>
  <c r="B323" i="17"/>
  <c r="D323" i="17"/>
  <c r="F323" i="17"/>
  <c r="H323" i="17"/>
  <c r="A324" i="17"/>
  <c r="B324" i="17"/>
  <c r="D324" i="17"/>
  <c r="F324" i="17"/>
  <c r="H324" i="17"/>
  <c r="A325" i="17"/>
  <c r="B325" i="17"/>
  <c r="D325" i="17"/>
  <c r="F325" i="17"/>
  <c r="H325" i="17"/>
  <c r="A326" i="17"/>
  <c r="B326" i="17"/>
  <c r="D326" i="17"/>
  <c r="F326" i="17"/>
  <c r="H326" i="17"/>
  <c r="A327" i="17"/>
  <c r="B327" i="17"/>
  <c r="D327" i="17"/>
  <c r="F327" i="17"/>
  <c r="H327" i="17"/>
  <c r="A328" i="17"/>
  <c r="B328" i="17"/>
  <c r="D328" i="17"/>
  <c r="F328" i="17"/>
  <c r="H328" i="17"/>
  <c r="A329" i="17"/>
  <c r="B329" i="17"/>
  <c r="D329" i="17"/>
  <c r="F329" i="17"/>
  <c r="H329" i="17"/>
  <c r="A330" i="17"/>
  <c r="B330" i="17"/>
  <c r="D330" i="17"/>
  <c r="F330" i="17"/>
  <c r="H330" i="17"/>
  <c r="A331" i="17"/>
  <c r="B331" i="17"/>
  <c r="D331" i="17"/>
  <c r="F331" i="17"/>
  <c r="H331" i="17"/>
  <c r="A332" i="17"/>
  <c r="B332" i="17"/>
  <c r="D332" i="17"/>
  <c r="F332" i="17"/>
  <c r="H332" i="17"/>
  <c r="A333" i="17"/>
  <c r="B333" i="17"/>
  <c r="D333" i="17"/>
  <c r="F333" i="17"/>
  <c r="H333" i="17"/>
  <c r="A334" i="17"/>
  <c r="B334" i="17"/>
  <c r="D334" i="17"/>
  <c r="F334" i="17"/>
  <c r="H334" i="17"/>
  <c r="A335" i="17"/>
  <c r="B335" i="17"/>
  <c r="D335" i="17"/>
  <c r="F335" i="17"/>
  <c r="H335" i="17"/>
  <c r="A336" i="17"/>
  <c r="B336" i="17"/>
  <c r="D336" i="17"/>
  <c r="F336" i="17"/>
  <c r="H336" i="17"/>
  <c r="A337" i="17"/>
  <c r="B337" i="17"/>
  <c r="D337" i="17"/>
  <c r="F337" i="17"/>
  <c r="H337" i="17"/>
  <c r="A338" i="17"/>
  <c r="B338" i="17"/>
  <c r="D338" i="17"/>
  <c r="F338" i="17"/>
  <c r="H338" i="17"/>
  <c r="A339" i="17"/>
  <c r="B339" i="17"/>
  <c r="D339" i="17"/>
  <c r="F339" i="17"/>
  <c r="H339" i="17"/>
  <c r="A340" i="17"/>
  <c r="B340" i="17"/>
  <c r="D340" i="17"/>
  <c r="F340" i="17"/>
  <c r="H340" i="17"/>
  <c r="A341" i="17"/>
  <c r="B341" i="17"/>
  <c r="D341" i="17"/>
  <c r="F341" i="17"/>
  <c r="H341" i="17"/>
  <c r="A342" i="17"/>
  <c r="B342" i="17"/>
  <c r="D342" i="17"/>
  <c r="F342" i="17"/>
  <c r="H342" i="17"/>
  <c r="A343" i="17"/>
  <c r="B343" i="17"/>
  <c r="D343" i="17"/>
  <c r="F343" i="17"/>
  <c r="H343" i="17"/>
  <c r="A344" i="17"/>
  <c r="B344" i="17"/>
  <c r="D344" i="17"/>
  <c r="F344" i="17"/>
  <c r="H344" i="17"/>
  <c r="A345" i="17"/>
  <c r="B345" i="17"/>
  <c r="D345" i="17"/>
  <c r="F345" i="17"/>
  <c r="H345" i="17"/>
  <c r="A346" i="17"/>
  <c r="B346" i="17"/>
  <c r="D346" i="17"/>
  <c r="F346" i="17"/>
  <c r="H346" i="17"/>
  <c r="A347" i="17"/>
  <c r="B347" i="17"/>
  <c r="D347" i="17"/>
  <c r="F347" i="17"/>
  <c r="H347" i="17"/>
  <c r="A348" i="17"/>
  <c r="B348" i="17"/>
  <c r="D348" i="17"/>
  <c r="F348" i="17"/>
  <c r="H348" i="17"/>
  <c r="A349" i="17"/>
  <c r="B349" i="17"/>
  <c r="D349" i="17"/>
  <c r="F349" i="17"/>
  <c r="H349" i="17"/>
  <c r="A350" i="17"/>
  <c r="B350" i="17"/>
  <c r="D350" i="17"/>
  <c r="F350" i="17"/>
  <c r="H350" i="17"/>
  <c r="A351" i="17"/>
  <c r="B351" i="17"/>
  <c r="D351" i="17"/>
  <c r="F351" i="17"/>
  <c r="H351" i="17"/>
  <c r="A352" i="17"/>
  <c r="B352" i="17"/>
  <c r="D352" i="17"/>
  <c r="F352" i="17"/>
  <c r="H352" i="17"/>
  <c r="A353" i="17"/>
  <c r="B353" i="17"/>
  <c r="D353" i="17"/>
  <c r="F353" i="17"/>
  <c r="H353" i="17"/>
  <c r="A354" i="17"/>
  <c r="B354" i="17"/>
  <c r="D354" i="17"/>
  <c r="F354" i="17"/>
  <c r="H354" i="17"/>
  <c r="A355" i="17"/>
  <c r="B355" i="17"/>
  <c r="D355" i="17"/>
  <c r="F355" i="17"/>
  <c r="H355" i="17"/>
  <c r="A356" i="17"/>
  <c r="B356" i="17"/>
  <c r="D356" i="17"/>
  <c r="F356" i="17"/>
  <c r="H356" i="17"/>
  <c r="A357" i="17"/>
  <c r="B357" i="17"/>
  <c r="D357" i="17"/>
  <c r="F357" i="17"/>
  <c r="H357" i="17"/>
  <c r="A358" i="17"/>
  <c r="B358" i="17"/>
  <c r="D358" i="17"/>
  <c r="F358" i="17"/>
  <c r="H358" i="17"/>
  <c r="A359" i="17"/>
  <c r="B359" i="17"/>
  <c r="D359" i="17"/>
  <c r="F359" i="17"/>
  <c r="H359" i="17"/>
  <c r="A360" i="17"/>
  <c r="B360" i="17"/>
  <c r="D360" i="17"/>
  <c r="F360" i="17"/>
  <c r="H360" i="17"/>
  <c r="A361" i="17"/>
  <c r="B361" i="17"/>
  <c r="D361" i="17"/>
  <c r="F361" i="17"/>
  <c r="H361" i="17"/>
  <c r="A362" i="17"/>
  <c r="B362" i="17"/>
  <c r="D362" i="17"/>
  <c r="F362" i="17"/>
  <c r="H362" i="17"/>
  <c r="A363" i="17"/>
  <c r="B363" i="17"/>
  <c r="D363" i="17"/>
  <c r="F363" i="17"/>
  <c r="H363" i="17"/>
  <c r="A364" i="17"/>
  <c r="B364" i="17"/>
  <c r="D364" i="17"/>
  <c r="F364" i="17"/>
  <c r="H364" i="17"/>
  <c r="A365" i="17"/>
  <c r="B365" i="17"/>
  <c r="D365" i="17"/>
  <c r="F365" i="17"/>
  <c r="H365" i="17"/>
  <c r="A366" i="17"/>
  <c r="B366" i="17"/>
  <c r="D366" i="17"/>
  <c r="F366" i="17"/>
  <c r="H366" i="17"/>
  <c r="A367" i="17"/>
  <c r="B367" i="17"/>
  <c r="D367" i="17"/>
  <c r="F367" i="17"/>
  <c r="H367" i="17"/>
  <c r="A368" i="17"/>
  <c r="B368" i="17"/>
  <c r="D368" i="17"/>
  <c r="F368" i="17"/>
  <c r="H368" i="17"/>
  <c r="A369" i="17"/>
  <c r="B369" i="17"/>
  <c r="D369" i="17"/>
  <c r="F369" i="17"/>
  <c r="H369" i="17"/>
  <c r="A370" i="17"/>
  <c r="B370" i="17"/>
  <c r="D370" i="17"/>
  <c r="F370" i="17"/>
  <c r="H370" i="17"/>
  <c r="A371" i="17"/>
  <c r="B371" i="17"/>
  <c r="D371" i="17"/>
  <c r="F371" i="17"/>
  <c r="H371" i="17"/>
  <c r="A372" i="17"/>
  <c r="B372" i="17"/>
  <c r="D372" i="17"/>
  <c r="F372" i="17"/>
  <c r="H372" i="17"/>
  <c r="A373" i="17"/>
  <c r="B373" i="17"/>
  <c r="D373" i="17"/>
  <c r="F373" i="17"/>
  <c r="H373" i="17"/>
  <c r="A374" i="17"/>
  <c r="B374" i="17"/>
  <c r="D374" i="17"/>
  <c r="F374" i="17"/>
  <c r="H374" i="17"/>
  <c r="A375" i="17"/>
  <c r="B375" i="17"/>
  <c r="D375" i="17"/>
  <c r="F375" i="17"/>
  <c r="H375" i="17"/>
  <c r="A376" i="17"/>
  <c r="B376" i="17"/>
  <c r="D376" i="17"/>
  <c r="F376" i="17"/>
  <c r="H376" i="17"/>
  <c r="A377" i="17"/>
  <c r="B377" i="17"/>
  <c r="D377" i="17"/>
  <c r="F377" i="17"/>
  <c r="H377" i="17"/>
  <c r="A378" i="17"/>
  <c r="B378" i="17"/>
  <c r="D378" i="17"/>
  <c r="F378" i="17"/>
  <c r="H378" i="17"/>
  <c r="A379" i="17"/>
  <c r="B379" i="17"/>
  <c r="D379" i="17"/>
  <c r="F379" i="17"/>
  <c r="H379" i="17"/>
  <c r="A380" i="17"/>
  <c r="B380" i="17"/>
  <c r="D380" i="17"/>
  <c r="F380" i="17"/>
  <c r="H380" i="17"/>
  <c r="A381" i="17"/>
  <c r="B381" i="17"/>
  <c r="D381" i="17"/>
  <c r="F381" i="17"/>
  <c r="H381" i="17"/>
  <c r="A382" i="17"/>
  <c r="B382" i="17"/>
  <c r="D382" i="17"/>
  <c r="F382" i="17"/>
  <c r="H382" i="17"/>
  <c r="A383" i="17"/>
  <c r="B383" i="17"/>
  <c r="D383" i="17"/>
  <c r="F383" i="17"/>
  <c r="H383" i="17"/>
  <c r="A384" i="17"/>
  <c r="B384" i="17"/>
  <c r="D384" i="17"/>
  <c r="F384" i="17"/>
  <c r="H384" i="17"/>
  <c r="A385" i="17"/>
  <c r="B385" i="17"/>
  <c r="D385" i="17"/>
  <c r="F385" i="17"/>
  <c r="H385" i="17"/>
  <c r="A386" i="17"/>
  <c r="B386" i="17"/>
  <c r="D386" i="17"/>
  <c r="F386" i="17"/>
  <c r="H386" i="17"/>
  <c r="A387" i="17"/>
  <c r="B387" i="17"/>
  <c r="D387" i="17"/>
  <c r="F387" i="17"/>
  <c r="H387" i="17"/>
  <c r="A388" i="17"/>
  <c r="B388" i="17"/>
  <c r="D388" i="17"/>
  <c r="F388" i="17"/>
  <c r="H388" i="17"/>
  <c r="A389" i="17"/>
  <c r="B389" i="17"/>
  <c r="D389" i="17"/>
  <c r="F389" i="17"/>
  <c r="H389" i="17"/>
  <c r="A390" i="17"/>
  <c r="B390" i="17"/>
  <c r="D390" i="17"/>
  <c r="F390" i="17"/>
  <c r="H390" i="17"/>
  <c r="A391" i="17"/>
  <c r="B391" i="17"/>
  <c r="D391" i="17"/>
  <c r="F391" i="17"/>
  <c r="H391" i="17"/>
  <c r="A392" i="17"/>
  <c r="B392" i="17"/>
  <c r="D392" i="17"/>
  <c r="F392" i="17"/>
  <c r="H392" i="17"/>
  <c r="A393" i="17"/>
  <c r="B393" i="17"/>
  <c r="D393" i="17"/>
  <c r="F393" i="17"/>
  <c r="H393" i="17"/>
  <c r="A394" i="17"/>
  <c r="B394" i="17"/>
  <c r="D394" i="17"/>
  <c r="F394" i="17"/>
  <c r="H394" i="17"/>
  <c r="A395" i="17"/>
  <c r="B395" i="17"/>
  <c r="D395" i="17"/>
  <c r="F395" i="17"/>
  <c r="H395" i="17"/>
  <c r="A396" i="17"/>
  <c r="B396" i="17"/>
  <c r="D396" i="17"/>
  <c r="F396" i="17"/>
  <c r="H396" i="17"/>
  <c r="A397" i="17"/>
  <c r="B397" i="17"/>
  <c r="D397" i="17"/>
  <c r="F397" i="17"/>
  <c r="H397" i="17"/>
  <c r="A398" i="17"/>
  <c r="B398" i="17"/>
  <c r="D398" i="17"/>
  <c r="F398" i="17"/>
  <c r="H398" i="17"/>
  <c r="A399" i="17"/>
  <c r="B399" i="17"/>
  <c r="D399" i="17"/>
  <c r="F399" i="17"/>
  <c r="H399" i="17"/>
  <c r="A400" i="17"/>
  <c r="B400" i="17"/>
  <c r="D400" i="17"/>
  <c r="F400" i="17"/>
  <c r="H400" i="17"/>
  <c r="A401" i="17"/>
  <c r="B401" i="17"/>
  <c r="D401" i="17"/>
  <c r="F401" i="17"/>
  <c r="H401" i="17"/>
  <c r="A402" i="17"/>
  <c r="B402" i="17"/>
  <c r="D402" i="17"/>
  <c r="F402" i="17"/>
  <c r="H402" i="17"/>
  <c r="A403" i="17"/>
  <c r="B403" i="17"/>
  <c r="D403" i="17"/>
  <c r="F403" i="17"/>
  <c r="H403" i="17"/>
  <c r="A404" i="17"/>
  <c r="B404" i="17"/>
  <c r="D404" i="17"/>
  <c r="F404" i="17"/>
  <c r="H404" i="17"/>
  <c r="A405" i="17"/>
  <c r="B405" i="17"/>
  <c r="D405" i="17"/>
  <c r="F405" i="17"/>
  <c r="H405" i="17"/>
  <c r="A406" i="17"/>
  <c r="B406" i="17"/>
  <c r="D406" i="17"/>
  <c r="F406" i="17"/>
  <c r="H406" i="17"/>
  <c r="A407" i="17"/>
  <c r="B407" i="17"/>
  <c r="D407" i="17"/>
  <c r="F407" i="17"/>
  <c r="H407" i="17"/>
  <c r="A408" i="17"/>
  <c r="B408" i="17"/>
  <c r="D408" i="17"/>
  <c r="F408" i="17"/>
  <c r="H408" i="17"/>
  <c r="A409" i="17"/>
  <c r="B409" i="17"/>
  <c r="D409" i="17"/>
  <c r="F409" i="17"/>
  <c r="H409" i="17"/>
  <c r="A410" i="17"/>
  <c r="B410" i="17"/>
  <c r="D410" i="17"/>
  <c r="F410" i="17"/>
  <c r="H410" i="17"/>
  <c r="A411" i="17"/>
  <c r="B411" i="17"/>
  <c r="D411" i="17"/>
  <c r="F411" i="17"/>
  <c r="H411" i="17"/>
  <c r="A412" i="17"/>
  <c r="B412" i="17"/>
  <c r="D412" i="17"/>
  <c r="F412" i="17"/>
  <c r="H412" i="17"/>
  <c r="A413" i="17"/>
  <c r="B413" i="17"/>
  <c r="D413" i="17"/>
  <c r="F413" i="17"/>
  <c r="H413" i="17"/>
  <c r="A414" i="17"/>
  <c r="B414" i="17"/>
  <c r="D414" i="17"/>
  <c r="F414" i="17"/>
  <c r="H414" i="17"/>
  <c r="A415" i="17"/>
  <c r="B415" i="17"/>
  <c r="D415" i="17"/>
  <c r="F415" i="17"/>
  <c r="H415" i="17"/>
  <c r="A416" i="17"/>
  <c r="B416" i="17"/>
  <c r="D416" i="17"/>
  <c r="F416" i="17"/>
  <c r="H416" i="17"/>
  <c r="A417" i="17"/>
  <c r="B417" i="17"/>
  <c r="D417" i="17"/>
  <c r="F417" i="17"/>
  <c r="H417" i="17"/>
  <c r="A418" i="17"/>
  <c r="B418" i="17"/>
  <c r="D418" i="17"/>
  <c r="F418" i="17"/>
  <c r="H418" i="17"/>
  <c r="A419" i="17"/>
  <c r="B419" i="17"/>
  <c r="D419" i="17"/>
  <c r="F419" i="17"/>
  <c r="H419" i="17"/>
  <c r="A420" i="17"/>
  <c r="B420" i="17"/>
  <c r="D420" i="17"/>
  <c r="F420" i="17"/>
  <c r="H420" i="17"/>
  <c r="A421" i="17"/>
  <c r="B421" i="17"/>
  <c r="D421" i="17"/>
  <c r="F421" i="17"/>
  <c r="H421" i="17"/>
  <c r="A422" i="17"/>
  <c r="B422" i="17"/>
  <c r="D422" i="17"/>
  <c r="F422" i="17"/>
  <c r="H422" i="17"/>
  <c r="A423" i="17"/>
  <c r="B423" i="17"/>
  <c r="D423" i="17"/>
  <c r="F423" i="17"/>
  <c r="H423" i="17"/>
  <c r="A424" i="17"/>
  <c r="B424" i="17"/>
  <c r="D424" i="17"/>
  <c r="F424" i="17"/>
  <c r="H424" i="17"/>
  <c r="A425" i="17"/>
  <c r="B425" i="17"/>
  <c r="D425" i="17"/>
  <c r="F425" i="17"/>
  <c r="H425" i="17"/>
  <c r="A426" i="17"/>
  <c r="B426" i="17"/>
  <c r="D426" i="17"/>
  <c r="F426" i="17"/>
  <c r="H426" i="17"/>
  <c r="A427" i="17"/>
  <c r="B427" i="17"/>
  <c r="D427" i="17"/>
  <c r="F427" i="17"/>
  <c r="H427" i="17"/>
  <c r="A428" i="17"/>
  <c r="B428" i="17"/>
  <c r="D428" i="17"/>
  <c r="F428" i="17"/>
  <c r="H428" i="17"/>
  <c r="A429" i="17"/>
  <c r="B429" i="17"/>
  <c r="D429" i="17"/>
  <c r="F429" i="17"/>
  <c r="H429" i="17"/>
  <c r="A430" i="17"/>
  <c r="B430" i="17"/>
  <c r="D430" i="17"/>
  <c r="F430" i="17"/>
  <c r="H430" i="17"/>
  <c r="A431" i="17"/>
  <c r="B431" i="17"/>
  <c r="D431" i="17"/>
  <c r="F431" i="17"/>
  <c r="H431" i="17"/>
  <c r="A432" i="17"/>
  <c r="B432" i="17"/>
  <c r="D432" i="17"/>
  <c r="F432" i="17"/>
  <c r="H432" i="17"/>
  <c r="A433" i="17"/>
  <c r="B433" i="17"/>
  <c r="D433" i="17"/>
  <c r="F433" i="17"/>
  <c r="H433" i="17"/>
  <c r="A434" i="17"/>
  <c r="B434" i="17"/>
  <c r="D434" i="17"/>
  <c r="F434" i="17"/>
  <c r="H434" i="17"/>
  <c r="A435" i="17"/>
  <c r="B435" i="17"/>
  <c r="D435" i="17"/>
  <c r="F435" i="17"/>
  <c r="H435" i="17"/>
  <c r="A436" i="17"/>
  <c r="B436" i="17"/>
  <c r="D436" i="17"/>
  <c r="F436" i="17"/>
  <c r="H436" i="17"/>
  <c r="A437" i="17"/>
  <c r="B437" i="17"/>
  <c r="D437" i="17"/>
  <c r="F437" i="17"/>
  <c r="H437" i="17"/>
  <c r="A438" i="17"/>
  <c r="B438" i="17"/>
  <c r="D438" i="17"/>
  <c r="F438" i="17"/>
  <c r="H438" i="17"/>
  <c r="A439" i="17"/>
  <c r="B439" i="17"/>
  <c r="D439" i="17"/>
  <c r="F439" i="17"/>
  <c r="H439" i="17"/>
  <c r="A440" i="17"/>
  <c r="B440" i="17"/>
  <c r="D440" i="17"/>
  <c r="F440" i="17"/>
  <c r="H440" i="17"/>
  <c r="A441" i="17"/>
  <c r="B441" i="17"/>
  <c r="D441" i="17"/>
  <c r="F441" i="17"/>
  <c r="H441" i="17"/>
  <c r="A442" i="17"/>
  <c r="B442" i="17"/>
  <c r="D442" i="17"/>
  <c r="F442" i="17"/>
  <c r="H442" i="17"/>
  <c r="A443" i="17"/>
  <c r="B443" i="17"/>
  <c r="D443" i="17"/>
  <c r="F443" i="17"/>
  <c r="H443" i="17"/>
  <c r="A444" i="17"/>
  <c r="B444" i="17"/>
  <c r="D444" i="17"/>
  <c r="F444" i="17"/>
  <c r="H444" i="17"/>
  <c r="A445" i="17"/>
  <c r="B445" i="17"/>
  <c r="D445" i="17"/>
  <c r="F445" i="17"/>
  <c r="H445" i="17"/>
  <c r="A446" i="17"/>
  <c r="B446" i="17"/>
  <c r="D446" i="17"/>
  <c r="F446" i="17"/>
  <c r="H446" i="17"/>
  <c r="A447" i="17"/>
  <c r="B447" i="17"/>
  <c r="D447" i="17"/>
  <c r="F447" i="17"/>
  <c r="H447" i="17"/>
  <c r="A448" i="17"/>
  <c r="B448" i="17"/>
  <c r="D448" i="17"/>
  <c r="F448" i="17"/>
  <c r="H448" i="17"/>
  <c r="A449" i="17"/>
  <c r="B449" i="17"/>
  <c r="D449" i="17"/>
  <c r="F449" i="17"/>
  <c r="H449" i="17"/>
  <c r="A450" i="17"/>
  <c r="B450" i="17"/>
  <c r="D450" i="17"/>
  <c r="F450" i="17"/>
  <c r="H450" i="17"/>
  <c r="A451" i="17"/>
  <c r="B451" i="17"/>
  <c r="D451" i="17"/>
  <c r="F451" i="17"/>
  <c r="H451" i="17"/>
  <c r="A452" i="17"/>
  <c r="B452" i="17"/>
  <c r="D452" i="17"/>
  <c r="F452" i="17"/>
  <c r="H452" i="17"/>
  <c r="A453" i="17"/>
  <c r="B453" i="17"/>
  <c r="D453" i="17"/>
  <c r="F453" i="17"/>
  <c r="H453" i="17"/>
  <c r="A454" i="17"/>
  <c r="B454" i="17"/>
  <c r="D454" i="17"/>
  <c r="F454" i="17"/>
  <c r="H454" i="17"/>
  <c r="A455" i="17"/>
  <c r="B455" i="17"/>
  <c r="D455" i="17"/>
  <c r="F455" i="17"/>
  <c r="H455" i="17"/>
  <c r="A456" i="17"/>
  <c r="B456" i="17"/>
  <c r="D456" i="17"/>
  <c r="F456" i="17"/>
  <c r="H456" i="17"/>
  <c r="A457" i="17"/>
  <c r="B457" i="17"/>
  <c r="D457" i="17"/>
  <c r="F457" i="17"/>
  <c r="H457" i="17"/>
  <c r="A458" i="17"/>
  <c r="B458" i="17"/>
  <c r="D458" i="17"/>
  <c r="F458" i="17"/>
  <c r="H458" i="17"/>
  <c r="A459" i="17"/>
  <c r="B459" i="17"/>
  <c r="D459" i="17"/>
  <c r="F459" i="17"/>
  <c r="H459" i="17"/>
  <c r="A460" i="17"/>
  <c r="B460" i="17"/>
  <c r="D460" i="17"/>
  <c r="F460" i="17"/>
  <c r="H460" i="17"/>
  <c r="A461" i="17"/>
  <c r="B461" i="17"/>
  <c r="D461" i="17"/>
  <c r="F461" i="17"/>
  <c r="H461" i="17"/>
  <c r="A462" i="17"/>
  <c r="B462" i="17"/>
  <c r="D462" i="17"/>
  <c r="F462" i="17"/>
  <c r="H462" i="17"/>
  <c r="A463" i="17"/>
  <c r="B463" i="17"/>
  <c r="D463" i="17"/>
  <c r="F463" i="17"/>
  <c r="H463" i="17"/>
  <c r="A464" i="17"/>
  <c r="B464" i="17"/>
  <c r="D464" i="17"/>
  <c r="F464" i="17"/>
  <c r="H464" i="17"/>
  <c r="A465" i="17"/>
  <c r="B465" i="17"/>
  <c r="D465" i="17"/>
  <c r="F465" i="17"/>
  <c r="H465" i="17"/>
  <c r="A466" i="17"/>
  <c r="B466" i="17"/>
  <c r="D466" i="17"/>
  <c r="F466" i="17"/>
  <c r="H466" i="17"/>
  <c r="A467" i="17"/>
  <c r="B467" i="17"/>
  <c r="D467" i="17"/>
  <c r="F467" i="17"/>
  <c r="H467" i="17"/>
  <c r="A468" i="17"/>
  <c r="B468" i="17"/>
  <c r="D468" i="17"/>
  <c r="F468" i="17"/>
  <c r="H468" i="17"/>
  <c r="A469" i="17"/>
  <c r="B469" i="17"/>
  <c r="D469" i="17"/>
  <c r="F469" i="17"/>
  <c r="H469" i="17"/>
  <c r="A470" i="17"/>
  <c r="B470" i="17"/>
  <c r="D470" i="17"/>
  <c r="F470" i="17"/>
  <c r="H470" i="17"/>
  <c r="A471" i="17"/>
  <c r="B471" i="17"/>
  <c r="D471" i="17"/>
  <c r="F471" i="17"/>
  <c r="H471" i="17"/>
  <c r="A472" i="17"/>
  <c r="B472" i="17"/>
  <c r="D472" i="17"/>
  <c r="F472" i="17"/>
  <c r="H472" i="17"/>
  <c r="A473" i="17"/>
  <c r="B473" i="17"/>
  <c r="D473" i="17"/>
  <c r="F473" i="17"/>
  <c r="H473" i="17"/>
  <c r="A474" i="17"/>
  <c r="B474" i="17"/>
  <c r="D474" i="17"/>
  <c r="F474" i="17"/>
  <c r="H474" i="17"/>
  <c r="A475" i="17"/>
  <c r="B475" i="17"/>
  <c r="D475" i="17"/>
  <c r="F475" i="17"/>
  <c r="H475" i="17"/>
  <c r="A476" i="17"/>
  <c r="B476" i="17"/>
  <c r="D476" i="17"/>
  <c r="F476" i="17"/>
  <c r="H476" i="17"/>
  <c r="A477" i="17"/>
  <c r="B477" i="17"/>
  <c r="D477" i="17"/>
  <c r="F477" i="17"/>
  <c r="H477" i="17"/>
  <c r="A478" i="17"/>
  <c r="B478" i="17"/>
  <c r="D478" i="17"/>
  <c r="F478" i="17"/>
  <c r="H478" i="17"/>
  <c r="A479" i="17"/>
  <c r="B479" i="17"/>
  <c r="D479" i="17"/>
  <c r="F479" i="17"/>
  <c r="H479" i="17"/>
  <c r="A480" i="17"/>
  <c r="B480" i="17"/>
  <c r="D480" i="17"/>
  <c r="F480" i="17"/>
  <c r="H480" i="17"/>
  <c r="A481" i="17"/>
  <c r="B481" i="17"/>
  <c r="D481" i="17"/>
  <c r="F481" i="17"/>
  <c r="H481" i="17"/>
  <c r="A482" i="17"/>
  <c r="B482" i="17"/>
  <c r="D482" i="17"/>
  <c r="F482" i="17"/>
  <c r="H482" i="17"/>
  <c r="A483" i="17"/>
  <c r="B483" i="17"/>
  <c r="D483" i="17"/>
  <c r="F483" i="17"/>
  <c r="H483" i="17"/>
  <c r="A484" i="17"/>
  <c r="B484" i="17"/>
  <c r="D484" i="17"/>
  <c r="F484" i="17"/>
  <c r="H484" i="17"/>
  <c r="A485" i="17"/>
  <c r="B485" i="17"/>
  <c r="D485" i="17"/>
  <c r="F485" i="17"/>
  <c r="H485" i="17"/>
  <c r="A486" i="17"/>
  <c r="B486" i="17"/>
  <c r="D486" i="17"/>
  <c r="F486" i="17"/>
  <c r="H486" i="17"/>
  <c r="A487" i="17"/>
  <c r="B487" i="17"/>
  <c r="D487" i="17"/>
  <c r="F487" i="17"/>
  <c r="H487" i="17"/>
  <c r="A488" i="17"/>
  <c r="B488" i="17"/>
  <c r="D488" i="17"/>
  <c r="F488" i="17"/>
  <c r="H488" i="17"/>
  <c r="A489" i="17"/>
  <c r="B489" i="17"/>
  <c r="D489" i="17"/>
  <c r="F489" i="17"/>
  <c r="H489" i="17"/>
  <c r="A490" i="17"/>
  <c r="B490" i="17"/>
  <c r="D490" i="17"/>
  <c r="F490" i="17"/>
  <c r="H490" i="17"/>
  <c r="A491" i="17"/>
  <c r="B491" i="17"/>
  <c r="D491" i="17"/>
  <c r="F491" i="17"/>
  <c r="H491" i="17"/>
  <c r="A492" i="17"/>
  <c r="B492" i="17"/>
  <c r="D492" i="17"/>
  <c r="F492" i="17"/>
  <c r="H492" i="17"/>
  <c r="A493" i="17"/>
  <c r="B493" i="17"/>
  <c r="D493" i="17"/>
  <c r="F493" i="17"/>
  <c r="H493" i="17"/>
  <c r="A494" i="17"/>
  <c r="B494" i="17"/>
  <c r="D494" i="17"/>
  <c r="F494" i="17"/>
  <c r="H494" i="17"/>
  <c r="A495" i="17"/>
  <c r="B495" i="17"/>
  <c r="D495" i="17"/>
  <c r="F495" i="17"/>
  <c r="H495" i="17"/>
  <c r="A496" i="17"/>
  <c r="B496" i="17"/>
  <c r="D496" i="17"/>
  <c r="F496" i="17"/>
  <c r="H496" i="17"/>
  <c r="A497" i="17"/>
  <c r="B497" i="17"/>
  <c r="D497" i="17"/>
  <c r="F497" i="17"/>
  <c r="H497" i="17"/>
  <c r="A498" i="17"/>
  <c r="B498" i="17"/>
  <c r="D498" i="17"/>
  <c r="F498" i="17"/>
  <c r="H498" i="17"/>
  <c r="A499" i="17"/>
  <c r="B499" i="17"/>
  <c r="D499" i="17"/>
  <c r="F499" i="17"/>
  <c r="H499" i="17"/>
  <c r="A500" i="17"/>
  <c r="B500" i="17"/>
  <c r="D500" i="17"/>
  <c r="F500" i="17"/>
  <c r="H500" i="17"/>
  <c r="A501" i="17"/>
  <c r="B501" i="17"/>
  <c r="D501" i="17"/>
  <c r="F501" i="17"/>
  <c r="H501" i="17"/>
  <c r="H3" i="17"/>
  <c r="F3" i="17"/>
  <c r="D3" i="17"/>
  <c r="B3" i="17"/>
  <c r="A3" i="17"/>
  <c r="K35" i="12"/>
  <c r="V108" i="14" l="1"/>
  <c r="U108" i="14"/>
  <c r="T108" i="14"/>
  <c r="R108" i="14"/>
  <c r="Q108" i="14"/>
  <c r="P108" i="14"/>
  <c r="O108" i="14"/>
  <c r="N108" i="14"/>
  <c r="M108" i="14"/>
  <c r="H108" i="14"/>
  <c r="F108" i="14"/>
  <c r="V107" i="14"/>
  <c r="U107" i="14"/>
  <c r="T107" i="14"/>
  <c r="R107" i="14"/>
  <c r="Q107" i="14"/>
  <c r="P107" i="14"/>
  <c r="O107" i="14"/>
  <c r="N107" i="14"/>
  <c r="M107" i="14"/>
  <c r="H107" i="14"/>
  <c r="F107" i="14"/>
  <c r="V105" i="14"/>
  <c r="U105" i="14"/>
  <c r="T105" i="14"/>
  <c r="R105" i="14"/>
  <c r="Q105" i="14"/>
  <c r="P105" i="14"/>
  <c r="O105" i="14"/>
  <c r="N105" i="14"/>
  <c r="M105" i="14"/>
  <c r="H105" i="14"/>
  <c r="F105" i="14"/>
  <c r="V104" i="14"/>
  <c r="U104" i="14"/>
  <c r="T104" i="14"/>
  <c r="R104" i="14"/>
  <c r="Q104" i="14"/>
  <c r="P104" i="14"/>
  <c r="O104" i="14"/>
  <c r="N104" i="14"/>
  <c r="M104" i="14"/>
  <c r="H104" i="14"/>
  <c r="F104" i="14"/>
  <c r="V103" i="14"/>
  <c r="U103" i="14"/>
  <c r="T103" i="14"/>
  <c r="R103" i="14"/>
  <c r="Q103" i="14"/>
  <c r="P103" i="14"/>
  <c r="O103" i="14"/>
  <c r="N103" i="14"/>
  <c r="M103" i="14"/>
  <c r="H103" i="14"/>
  <c r="F103" i="14"/>
  <c r="V102" i="14"/>
  <c r="U102" i="14"/>
  <c r="T102" i="14"/>
  <c r="R102" i="14"/>
  <c r="Q102" i="14"/>
  <c r="P102" i="14"/>
  <c r="O102" i="14"/>
  <c r="N102" i="14"/>
  <c r="M102" i="14"/>
  <c r="H102" i="14"/>
  <c r="F102" i="14"/>
  <c r="V101" i="14"/>
  <c r="U101" i="14"/>
  <c r="T101" i="14"/>
  <c r="R101" i="14"/>
  <c r="Q101" i="14"/>
  <c r="P101" i="14"/>
  <c r="O101" i="14"/>
  <c r="N101" i="14"/>
  <c r="M101" i="14"/>
  <c r="H101" i="14"/>
  <c r="F101" i="14"/>
  <c r="V99" i="14"/>
  <c r="U99" i="14"/>
  <c r="T99" i="14"/>
  <c r="R99" i="14"/>
  <c r="Q99" i="14"/>
  <c r="P99" i="14"/>
  <c r="O99" i="14"/>
  <c r="N99" i="14"/>
  <c r="M99" i="14"/>
  <c r="H99" i="14"/>
  <c r="F99" i="14"/>
  <c r="V98" i="14"/>
  <c r="U98" i="14"/>
  <c r="T98" i="14"/>
  <c r="R98" i="14"/>
  <c r="Q98" i="14"/>
  <c r="P98" i="14"/>
  <c r="O98" i="14"/>
  <c r="N98" i="14"/>
  <c r="M98" i="14"/>
  <c r="H98" i="14"/>
  <c r="F98" i="14"/>
  <c r="V97" i="14"/>
  <c r="U97" i="14"/>
  <c r="T97" i="14"/>
  <c r="R97" i="14"/>
  <c r="Q97" i="14"/>
  <c r="P97" i="14"/>
  <c r="O97" i="14"/>
  <c r="N97" i="14"/>
  <c r="M97" i="14"/>
  <c r="H97" i="14"/>
  <c r="F97" i="14"/>
  <c r="V96" i="14"/>
  <c r="U96" i="14"/>
  <c r="T96" i="14"/>
  <c r="R96" i="14"/>
  <c r="Q96" i="14"/>
  <c r="P96" i="14"/>
  <c r="O96" i="14"/>
  <c r="N96" i="14"/>
  <c r="M96" i="14"/>
  <c r="H96" i="14"/>
  <c r="F96" i="14"/>
  <c r="V95" i="14"/>
  <c r="U95" i="14"/>
  <c r="T95" i="14"/>
  <c r="R95" i="14"/>
  <c r="Q95" i="14"/>
  <c r="P95" i="14"/>
  <c r="O95" i="14"/>
  <c r="N95" i="14"/>
  <c r="M95" i="14"/>
  <c r="H95" i="14"/>
  <c r="F95" i="14"/>
  <c r="V94" i="14"/>
  <c r="U94" i="14"/>
  <c r="T94" i="14"/>
  <c r="R94" i="14"/>
  <c r="Q94" i="14"/>
  <c r="P94" i="14"/>
  <c r="O94" i="14"/>
  <c r="N94" i="14"/>
  <c r="M94" i="14"/>
  <c r="H94" i="14"/>
  <c r="F94" i="14"/>
  <c r="V93" i="14"/>
  <c r="U93" i="14"/>
  <c r="T93" i="14"/>
  <c r="R93" i="14"/>
  <c r="Q93" i="14"/>
  <c r="P93" i="14"/>
  <c r="O93" i="14"/>
  <c r="N93" i="14"/>
  <c r="M93" i="14"/>
  <c r="H93" i="14"/>
  <c r="F93" i="14"/>
  <c r="V88" i="14"/>
  <c r="U88" i="14"/>
  <c r="T88" i="14"/>
  <c r="R88" i="14"/>
  <c r="Q88" i="14"/>
  <c r="P88" i="14"/>
  <c r="O88" i="14"/>
  <c r="N88" i="14"/>
  <c r="M88" i="14"/>
  <c r="H88" i="14"/>
  <c r="F88" i="14"/>
  <c r="V87" i="14"/>
  <c r="U87" i="14"/>
  <c r="T87" i="14"/>
  <c r="R87" i="14"/>
  <c r="Q87" i="14"/>
  <c r="P87" i="14"/>
  <c r="O87" i="14"/>
  <c r="N87" i="14"/>
  <c r="M87" i="14"/>
  <c r="H87" i="14"/>
  <c r="F87" i="14"/>
  <c r="V85" i="14"/>
  <c r="U85" i="14"/>
  <c r="T85" i="14"/>
  <c r="R85" i="14"/>
  <c r="Q85" i="14"/>
  <c r="P85" i="14"/>
  <c r="O85" i="14"/>
  <c r="N85" i="14"/>
  <c r="M85" i="14"/>
  <c r="H85" i="14"/>
  <c r="F85" i="14"/>
  <c r="V84" i="14"/>
  <c r="U84" i="14"/>
  <c r="T84" i="14"/>
  <c r="R84" i="14"/>
  <c r="Q84" i="14"/>
  <c r="P84" i="14"/>
  <c r="O84" i="14"/>
  <c r="N84" i="14"/>
  <c r="M84" i="14"/>
  <c r="H84" i="14"/>
  <c r="F84" i="14"/>
  <c r="V83" i="14"/>
  <c r="U83" i="14"/>
  <c r="T83" i="14"/>
  <c r="R83" i="14"/>
  <c r="Q83" i="14"/>
  <c r="P83" i="14"/>
  <c r="O83" i="14"/>
  <c r="N83" i="14"/>
  <c r="M83" i="14"/>
  <c r="H83" i="14"/>
  <c r="F83" i="14"/>
  <c r="V82" i="14"/>
  <c r="U82" i="14"/>
  <c r="T82" i="14"/>
  <c r="R82" i="14"/>
  <c r="Q82" i="14"/>
  <c r="P82" i="14"/>
  <c r="O82" i="14"/>
  <c r="N82" i="14"/>
  <c r="M82" i="14"/>
  <c r="H82" i="14"/>
  <c r="F82" i="14"/>
  <c r="V81" i="14"/>
  <c r="U81" i="14"/>
  <c r="T81" i="14"/>
  <c r="R81" i="14"/>
  <c r="Q81" i="14"/>
  <c r="P81" i="14"/>
  <c r="O81" i="14"/>
  <c r="N81" i="14"/>
  <c r="M81" i="14"/>
  <c r="H81" i="14"/>
  <c r="F81" i="14"/>
  <c r="V79" i="14"/>
  <c r="U79" i="14"/>
  <c r="T79" i="14"/>
  <c r="R79" i="14"/>
  <c r="Q79" i="14"/>
  <c r="P79" i="14"/>
  <c r="O79" i="14"/>
  <c r="N79" i="14"/>
  <c r="M79" i="14"/>
  <c r="H79" i="14"/>
  <c r="F79" i="14"/>
  <c r="V78" i="14"/>
  <c r="U78" i="14"/>
  <c r="T78" i="14"/>
  <c r="R78" i="14"/>
  <c r="Q78" i="14"/>
  <c r="P78" i="14"/>
  <c r="O78" i="14"/>
  <c r="N78" i="14"/>
  <c r="M78" i="14"/>
  <c r="H78" i="14"/>
  <c r="F78" i="14"/>
  <c r="V77" i="14"/>
  <c r="U77" i="14"/>
  <c r="T77" i="14"/>
  <c r="R77" i="14"/>
  <c r="Q77" i="14"/>
  <c r="P77" i="14"/>
  <c r="O77" i="14"/>
  <c r="N77" i="14"/>
  <c r="M77" i="14"/>
  <c r="H77" i="14"/>
  <c r="F77" i="14"/>
  <c r="V76" i="14"/>
  <c r="U76" i="14"/>
  <c r="T76" i="14"/>
  <c r="R76" i="14"/>
  <c r="Q76" i="14"/>
  <c r="P76" i="14"/>
  <c r="O76" i="14"/>
  <c r="N76" i="14"/>
  <c r="M76" i="14"/>
  <c r="H76" i="14"/>
  <c r="F76" i="14"/>
  <c r="V75" i="14"/>
  <c r="U75" i="14"/>
  <c r="T75" i="14"/>
  <c r="R75" i="14"/>
  <c r="Q75" i="14"/>
  <c r="P75" i="14"/>
  <c r="O75" i="14"/>
  <c r="N75" i="14"/>
  <c r="M75" i="14"/>
  <c r="H75" i="14"/>
  <c r="F75" i="14"/>
  <c r="V74" i="14"/>
  <c r="U74" i="14"/>
  <c r="T74" i="14"/>
  <c r="R74" i="14"/>
  <c r="Q74" i="14"/>
  <c r="P74" i="14"/>
  <c r="O74" i="14"/>
  <c r="N74" i="14"/>
  <c r="M74" i="14"/>
  <c r="H74" i="14"/>
  <c r="F74" i="14"/>
  <c r="V73" i="14"/>
  <c r="U73" i="14"/>
  <c r="T73" i="14"/>
  <c r="R73" i="14"/>
  <c r="Q73" i="14"/>
  <c r="P73" i="14"/>
  <c r="O73" i="14"/>
  <c r="N73" i="14"/>
  <c r="M73" i="14"/>
  <c r="H73" i="14"/>
  <c r="F73" i="14"/>
  <c r="V68" i="14"/>
  <c r="U68" i="14"/>
  <c r="T68" i="14"/>
  <c r="R68" i="14"/>
  <c r="Q68" i="14"/>
  <c r="P68" i="14"/>
  <c r="O68" i="14"/>
  <c r="N68" i="14"/>
  <c r="M68" i="14"/>
  <c r="F68" i="14"/>
  <c r="V67" i="14"/>
  <c r="U67" i="14"/>
  <c r="T67" i="14"/>
  <c r="R67" i="14"/>
  <c r="Q67" i="14"/>
  <c r="P67" i="14"/>
  <c r="O67" i="14"/>
  <c r="N67" i="14"/>
  <c r="M67" i="14"/>
  <c r="F67" i="14"/>
  <c r="V66" i="14"/>
  <c r="U66" i="14"/>
  <c r="T66" i="14"/>
  <c r="R66" i="14"/>
  <c r="Q66" i="14"/>
  <c r="P66" i="14"/>
  <c r="O66" i="14"/>
  <c r="N66" i="14"/>
  <c r="M66" i="14"/>
  <c r="F66" i="14"/>
  <c r="V65" i="14"/>
  <c r="U65" i="14"/>
  <c r="T65" i="14"/>
  <c r="R65" i="14"/>
  <c r="Q65" i="14"/>
  <c r="P65" i="14"/>
  <c r="O65" i="14"/>
  <c r="N65" i="14"/>
  <c r="M65" i="14"/>
  <c r="F65" i="14"/>
  <c r="V64" i="14"/>
  <c r="U64" i="14"/>
  <c r="T64" i="14"/>
  <c r="R64" i="14"/>
  <c r="Q64" i="14"/>
  <c r="P64" i="14"/>
  <c r="O64" i="14"/>
  <c r="N64" i="14"/>
  <c r="M64" i="14"/>
  <c r="F64" i="14"/>
  <c r="V62" i="14"/>
  <c r="U62" i="14"/>
  <c r="T62" i="14"/>
  <c r="R62" i="14"/>
  <c r="Q62" i="14"/>
  <c r="P62" i="14"/>
  <c r="O62" i="14"/>
  <c r="N62" i="14"/>
  <c r="M62" i="14"/>
  <c r="F62" i="14"/>
  <c r="V61" i="14"/>
  <c r="U61" i="14"/>
  <c r="T61" i="14"/>
  <c r="R61" i="14"/>
  <c r="Q61" i="14"/>
  <c r="P61" i="14"/>
  <c r="O61" i="14"/>
  <c r="N61" i="14"/>
  <c r="M61" i="14"/>
  <c r="F61" i="14"/>
  <c r="V60" i="14"/>
  <c r="U60" i="14"/>
  <c r="T60" i="14"/>
  <c r="R60" i="14"/>
  <c r="Q60" i="14"/>
  <c r="P60" i="14"/>
  <c r="O60" i="14"/>
  <c r="N60" i="14"/>
  <c r="M60" i="14"/>
  <c r="F60" i="14"/>
  <c r="V57" i="14"/>
  <c r="U57" i="14"/>
  <c r="T57" i="14"/>
  <c r="R57" i="14"/>
  <c r="Q57" i="14"/>
  <c r="P57" i="14"/>
  <c r="O57" i="14"/>
  <c r="N57" i="14"/>
  <c r="M57" i="14"/>
  <c r="F57" i="14"/>
  <c r="V56" i="14"/>
  <c r="U56" i="14"/>
  <c r="T56" i="14"/>
  <c r="R56" i="14"/>
  <c r="Q56" i="14"/>
  <c r="P56" i="14"/>
  <c r="O56" i="14"/>
  <c r="N56" i="14"/>
  <c r="M56" i="14"/>
  <c r="F56" i="14"/>
  <c r="V55" i="14"/>
  <c r="U55" i="14"/>
  <c r="T55" i="14"/>
  <c r="R55" i="14"/>
  <c r="Q55" i="14"/>
  <c r="P55" i="14"/>
  <c r="O55" i="14"/>
  <c r="N55" i="14"/>
  <c r="M55" i="14"/>
  <c r="F55" i="14"/>
  <c r="V54" i="14"/>
  <c r="U54" i="14"/>
  <c r="T54" i="14"/>
  <c r="R54" i="14"/>
  <c r="Q54" i="14"/>
  <c r="P54" i="14"/>
  <c r="O54" i="14"/>
  <c r="N54" i="14"/>
  <c r="M54" i="14"/>
  <c r="F54" i="14"/>
  <c r="V52" i="14"/>
  <c r="U52" i="14"/>
  <c r="T52" i="14"/>
  <c r="R52" i="14"/>
  <c r="Q52" i="14"/>
  <c r="P52" i="14"/>
  <c r="O52" i="14"/>
  <c r="N52" i="14"/>
  <c r="M52" i="14"/>
  <c r="F52" i="14"/>
  <c r="V50" i="14"/>
  <c r="U50" i="14"/>
  <c r="T50" i="14"/>
  <c r="R50" i="14"/>
  <c r="Q50" i="14"/>
  <c r="P50" i="14"/>
  <c r="O50" i="14"/>
  <c r="N50" i="14"/>
  <c r="M50" i="14"/>
  <c r="F50" i="14"/>
  <c r="V48" i="14"/>
  <c r="U48" i="14"/>
  <c r="T48" i="14"/>
  <c r="R48" i="14"/>
  <c r="Q48" i="14"/>
  <c r="P48" i="14"/>
  <c r="O48" i="14"/>
  <c r="N48" i="14"/>
  <c r="M48" i="14"/>
  <c r="F48" i="14"/>
  <c r="V47" i="14"/>
  <c r="U47" i="14"/>
  <c r="T47" i="14"/>
  <c r="R47" i="14"/>
  <c r="Q47" i="14"/>
  <c r="P47" i="14"/>
  <c r="O47" i="14"/>
  <c r="N47" i="14"/>
  <c r="M47" i="14"/>
  <c r="F47" i="14"/>
  <c r="V46" i="14"/>
  <c r="U46" i="14"/>
  <c r="T46" i="14"/>
  <c r="R46" i="14"/>
  <c r="Q46" i="14"/>
  <c r="P46" i="14"/>
  <c r="O46" i="14"/>
  <c r="N46" i="14"/>
  <c r="M46" i="14"/>
  <c r="F46" i="14"/>
  <c r="V45" i="14"/>
  <c r="U45" i="14"/>
  <c r="T45" i="14"/>
  <c r="R45" i="14"/>
  <c r="Q45" i="14"/>
  <c r="P45" i="14"/>
  <c r="O45" i="14"/>
  <c r="N45" i="14"/>
  <c r="M45" i="14"/>
  <c r="F45" i="14"/>
  <c r="V44" i="14"/>
  <c r="U44" i="14"/>
  <c r="T44" i="14"/>
  <c r="R44" i="14"/>
  <c r="Q44" i="14"/>
  <c r="P44" i="14"/>
  <c r="O44" i="14"/>
  <c r="N44" i="14"/>
  <c r="M44" i="14"/>
  <c r="F44" i="14"/>
  <c r="V43" i="14"/>
  <c r="U43" i="14"/>
  <c r="T43" i="14"/>
  <c r="R43" i="14"/>
  <c r="Q43" i="14"/>
  <c r="P43" i="14"/>
  <c r="O43" i="14"/>
  <c r="N43" i="14"/>
  <c r="M43" i="14"/>
  <c r="F43" i="14"/>
  <c r="V41" i="14"/>
  <c r="U41" i="14"/>
  <c r="T41" i="14"/>
  <c r="R41" i="14"/>
  <c r="Q41" i="14"/>
  <c r="P41" i="14"/>
  <c r="O41" i="14"/>
  <c r="N41" i="14"/>
  <c r="M41" i="14"/>
  <c r="F41" i="14"/>
  <c r="V40" i="14"/>
  <c r="U40" i="14"/>
  <c r="T40" i="14"/>
  <c r="R40" i="14"/>
  <c r="Q40" i="14"/>
  <c r="P40" i="14"/>
  <c r="O40" i="14"/>
  <c r="N40" i="14"/>
  <c r="M40" i="14"/>
  <c r="F40" i="14"/>
  <c r="V37" i="14"/>
  <c r="U37" i="14"/>
  <c r="T37" i="14"/>
  <c r="R37" i="14"/>
  <c r="Q37" i="14"/>
  <c r="P37" i="14"/>
  <c r="O37" i="14"/>
  <c r="N37" i="14"/>
  <c r="M37" i="14"/>
  <c r="F37" i="14"/>
  <c r="V36" i="14"/>
  <c r="U36" i="14"/>
  <c r="T36" i="14"/>
  <c r="R36" i="14"/>
  <c r="Q36" i="14"/>
  <c r="P36" i="14"/>
  <c r="O36" i="14"/>
  <c r="N36" i="14"/>
  <c r="M36" i="14"/>
  <c r="F36" i="14"/>
  <c r="V35" i="14"/>
  <c r="U35" i="14"/>
  <c r="T35" i="14"/>
  <c r="R35" i="14"/>
  <c r="Q35" i="14"/>
  <c r="P35" i="14"/>
  <c r="O35" i="14"/>
  <c r="N35" i="14"/>
  <c r="M35" i="14"/>
  <c r="F35" i="14"/>
  <c r="V34" i="14"/>
  <c r="U34" i="14"/>
  <c r="T34" i="14"/>
  <c r="R34" i="14"/>
  <c r="Q34" i="14"/>
  <c r="P34" i="14"/>
  <c r="O34" i="14"/>
  <c r="N34" i="14"/>
  <c r="M34" i="14"/>
  <c r="F34" i="14"/>
  <c r="V32" i="14"/>
  <c r="U32" i="14"/>
  <c r="T32" i="14"/>
  <c r="R32" i="14"/>
  <c r="Q32" i="14"/>
  <c r="P32" i="14"/>
  <c r="O32" i="14"/>
  <c r="N32" i="14"/>
  <c r="M32" i="14"/>
  <c r="F32" i="14"/>
  <c r="V31" i="14"/>
  <c r="U31" i="14"/>
  <c r="T31" i="14"/>
  <c r="R31" i="14"/>
  <c r="Q31" i="14"/>
  <c r="P31" i="14"/>
  <c r="O31" i="14"/>
  <c r="N31" i="14"/>
  <c r="M31" i="14"/>
  <c r="F31" i="14"/>
  <c r="V29" i="14"/>
  <c r="U29" i="14"/>
  <c r="T29" i="14"/>
  <c r="R29" i="14"/>
  <c r="Q29" i="14"/>
  <c r="P29" i="14"/>
  <c r="O29" i="14"/>
  <c r="N29" i="14"/>
  <c r="M29" i="14"/>
  <c r="F29" i="14"/>
  <c r="V28" i="14"/>
  <c r="U28" i="14"/>
  <c r="T28" i="14"/>
  <c r="R28" i="14"/>
  <c r="Q28" i="14"/>
  <c r="P28" i="14"/>
  <c r="O28" i="14"/>
  <c r="N28" i="14"/>
  <c r="M28" i="14"/>
  <c r="F28" i="14"/>
  <c r="V27" i="14"/>
  <c r="U27" i="14"/>
  <c r="T27" i="14"/>
  <c r="R27" i="14"/>
  <c r="Q27" i="14"/>
  <c r="P27" i="14"/>
  <c r="O27" i="14"/>
  <c r="N27" i="14"/>
  <c r="M27" i="14"/>
  <c r="F27" i="14"/>
  <c r="V26" i="14"/>
  <c r="U26" i="14"/>
  <c r="T26" i="14"/>
  <c r="R26" i="14"/>
  <c r="Q26" i="14"/>
  <c r="P26" i="14"/>
  <c r="O26" i="14"/>
  <c r="N26" i="14"/>
  <c r="M26" i="14"/>
  <c r="F26" i="14"/>
  <c r="V25" i="14"/>
  <c r="U25" i="14"/>
  <c r="T25" i="14"/>
  <c r="R25" i="14"/>
  <c r="Q25" i="14"/>
  <c r="P25" i="14"/>
  <c r="O25" i="14"/>
  <c r="N25" i="14"/>
  <c r="M25" i="14"/>
  <c r="F25" i="14"/>
  <c r="V24" i="14"/>
  <c r="U24" i="14"/>
  <c r="T24" i="14"/>
  <c r="R24" i="14"/>
  <c r="Q24" i="14"/>
  <c r="P24" i="14"/>
  <c r="O24" i="14"/>
  <c r="N24" i="14"/>
  <c r="M24" i="14"/>
  <c r="F24" i="14"/>
  <c r="V22" i="14"/>
  <c r="U22" i="14"/>
  <c r="T22" i="14"/>
  <c r="R22" i="14"/>
  <c r="Q22" i="14"/>
  <c r="P22" i="14"/>
  <c r="O22" i="14"/>
  <c r="N22" i="14"/>
  <c r="M22" i="14"/>
  <c r="F22" i="14"/>
  <c r="V21" i="14"/>
  <c r="U21" i="14"/>
  <c r="T21" i="14"/>
  <c r="R21" i="14"/>
  <c r="Q21" i="14"/>
  <c r="P21" i="14"/>
  <c r="O21" i="14"/>
  <c r="N21" i="14"/>
  <c r="M21" i="14"/>
  <c r="F21" i="14"/>
  <c r="V20" i="14"/>
  <c r="U20" i="14"/>
  <c r="T20" i="14"/>
  <c r="R20" i="14"/>
  <c r="Q20" i="14"/>
  <c r="P20" i="14"/>
  <c r="O20" i="14"/>
  <c r="N20" i="14"/>
  <c r="M20" i="14"/>
  <c r="F20" i="14"/>
  <c r="V18" i="14"/>
  <c r="U18" i="14"/>
  <c r="T18" i="14"/>
  <c r="R18" i="14"/>
  <c r="Q18" i="14"/>
  <c r="P18" i="14"/>
  <c r="O18" i="14"/>
  <c r="N18" i="14"/>
  <c r="M18" i="14"/>
  <c r="F18" i="14"/>
  <c r="V17" i="14"/>
  <c r="U17" i="14"/>
  <c r="T17" i="14"/>
  <c r="R17" i="14"/>
  <c r="Q17" i="14"/>
  <c r="P17" i="14"/>
  <c r="O17" i="14"/>
  <c r="N17" i="14"/>
  <c r="M17" i="14"/>
  <c r="F17" i="14"/>
  <c r="V16" i="14"/>
  <c r="U16" i="14"/>
  <c r="T16" i="14"/>
  <c r="R16" i="14"/>
  <c r="Q16" i="14"/>
  <c r="P16" i="14"/>
  <c r="O16" i="14"/>
  <c r="N16" i="14"/>
  <c r="M16" i="14"/>
  <c r="F16" i="14"/>
  <c r="V14" i="14"/>
  <c r="U14" i="14"/>
  <c r="T14" i="14"/>
  <c r="R14" i="14"/>
  <c r="Q14" i="14"/>
  <c r="P14" i="14"/>
  <c r="O14" i="14"/>
  <c r="N14" i="14"/>
  <c r="M14" i="14"/>
  <c r="F14" i="14"/>
  <c r="V13" i="14"/>
  <c r="U13" i="14"/>
  <c r="T13" i="14"/>
  <c r="R13" i="14"/>
  <c r="Q13" i="14"/>
  <c r="P13" i="14"/>
  <c r="O13" i="14"/>
  <c r="N13" i="14"/>
  <c r="M13" i="14"/>
  <c r="F13" i="14"/>
  <c r="V12" i="14"/>
  <c r="U12" i="14"/>
  <c r="T12" i="14"/>
  <c r="R12" i="14"/>
  <c r="Q12" i="14"/>
  <c r="P12" i="14"/>
  <c r="O12" i="14"/>
  <c r="N12" i="14"/>
  <c r="M12" i="14"/>
  <c r="F12" i="14"/>
  <c r="V11" i="14"/>
  <c r="U11" i="14"/>
  <c r="T11" i="14"/>
  <c r="R11" i="14"/>
  <c r="Q11" i="14"/>
  <c r="P11" i="14"/>
  <c r="O11" i="14"/>
  <c r="N11" i="14"/>
  <c r="M11" i="14"/>
  <c r="F11" i="14"/>
  <c r="V10" i="14"/>
  <c r="U10" i="14"/>
  <c r="T10" i="14"/>
  <c r="R10" i="14"/>
  <c r="Q10" i="14"/>
  <c r="P10" i="14"/>
  <c r="O10" i="14"/>
  <c r="N10" i="14"/>
  <c r="M10" i="14"/>
  <c r="F10" i="14"/>
  <c r="V8" i="14"/>
  <c r="U8" i="14"/>
  <c r="T8" i="14"/>
  <c r="R8" i="14"/>
  <c r="Q8" i="14"/>
  <c r="P8" i="14"/>
  <c r="O8" i="14"/>
  <c r="N8" i="14"/>
  <c r="M8" i="14"/>
  <c r="F8" i="14"/>
  <c r="V7" i="14"/>
  <c r="U7" i="14"/>
  <c r="T7" i="14"/>
  <c r="R7" i="14"/>
  <c r="Q7" i="14"/>
  <c r="P7" i="14"/>
  <c r="O7" i="14"/>
  <c r="N7" i="14"/>
  <c r="M7" i="14"/>
  <c r="F7" i="14"/>
  <c r="V6" i="14"/>
  <c r="U6" i="14"/>
  <c r="T6" i="14"/>
  <c r="R6" i="14"/>
  <c r="Q6" i="14"/>
  <c r="P6" i="14"/>
  <c r="O6" i="14"/>
  <c r="N6" i="14"/>
  <c r="M6" i="14"/>
  <c r="F6" i="14"/>
  <c r="U106" i="14" l="1"/>
  <c r="N92" i="14"/>
  <c r="T92" i="14"/>
  <c r="F100" i="14"/>
  <c r="H100" i="14"/>
  <c r="N100" i="14"/>
  <c r="P106" i="14"/>
  <c r="R106" i="14"/>
  <c r="H106" i="14"/>
  <c r="M106" i="14"/>
  <c r="O106" i="14"/>
  <c r="M92" i="14"/>
  <c r="O92" i="14"/>
  <c r="Q92" i="14"/>
  <c r="U92" i="14"/>
  <c r="P100" i="14"/>
  <c r="R100" i="14"/>
  <c r="T100" i="14"/>
  <c r="V100" i="14"/>
  <c r="Q106" i="14"/>
  <c r="R92" i="14"/>
  <c r="V92" i="14"/>
  <c r="N106" i="14"/>
  <c r="T106" i="14"/>
  <c r="V106" i="14"/>
  <c r="P92" i="14"/>
  <c r="F92" i="14"/>
  <c r="H92" i="14"/>
  <c r="M100" i="14"/>
  <c r="O100" i="14"/>
  <c r="Q100" i="14"/>
  <c r="U100" i="14"/>
  <c r="F106" i="14"/>
  <c r="R51" i="14" l="1"/>
  <c r="R49" i="14"/>
  <c r="R87" i="13"/>
  <c r="R46" i="13"/>
  <c r="R59" i="14" l="1"/>
  <c r="R5" i="14"/>
  <c r="R9" i="14"/>
  <c r="R30" i="14"/>
  <c r="R39" i="14"/>
  <c r="R42" i="14"/>
  <c r="R72" i="14"/>
  <c r="R80" i="14"/>
  <c r="R86" i="14"/>
  <c r="R15" i="14"/>
  <c r="R19" i="14"/>
  <c r="R23" i="14"/>
  <c r="R33" i="14"/>
  <c r="R53" i="14"/>
  <c r="R63" i="14"/>
  <c r="R58" i="14" l="1"/>
  <c r="R71" i="14"/>
  <c r="R50" i="13" s="1"/>
  <c r="R91" i="14"/>
  <c r="R91" i="13" s="1"/>
  <c r="R38" i="14"/>
  <c r="R4" i="14"/>
  <c r="R3" i="14" l="1"/>
  <c r="R9" i="13" s="1"/>
  <c r="D5" i="13"/>
  <c r="Q91" i="14" l="1"/>
  <c r="Q91"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8" i="13"/>
  <c r="D7" i="13"/>
  <c r="Q87" i="13"/>
  <c r="Q46" i="13"/>
  <c r="P91" i="13"/>
  <c r="P87" i="13"/>
  <c r="P46" i="13"/>
  <c r="L87" i="13"/>
  <c r="L46" i="13"/>
  <c r="H87" i="13"/>
  <c r="H46" i="13"/>
  <c r="Q4" i="14" l="1"/>
  <c r="P38" i="14"/>
  <c r="Q38" i="14"/>
  <c r="P58" i="14"/>
  <c r="Q58" i="14"/>
  <c r="P4" i="14"/>
  <c r="Q71" i="14"/>
  <c r="Q50" i="13" s="1"/>
  <c r="P71" i="14"/>
  <c r="P50" i="13" s="1"/>
  <c r="L42" i="4"/>
  <c r="K42" i="4"/>
  <c r="D89" i="13"/>
  <c r="W87" i="13"/>
  <c r="W46" i="13"/>
  <c r="L3" i="4"/>
  <c r="K3" i="4"/>
  <c r="V120" i="13" l="1"/>
  <c r="T120" i="13"/>
  <c r="R120" i="13"/>
  <c r="P120" i="13"/>
  <c r="N120" i="13"/>
  <c r="L120" i="13"/>
  <c r="H120" i="13"/>
  <c r="F120" i="13"/>
  <c r="W38" i="13"/>
  <c r="U38" i="13"/>
  <c r="Q38" i="13"/>
  <c r="M38" i="13"/>
  <c r="E38" i="13"/>
  <c r="V79" i="13"/>
  <c r="T79" i="13"/>
  <c r="R79" i="13"/>
  <c r="P79" i="13"/>
  <c r="N79" i="13"/>
  <c r="L79" i="13"/>
  <c r="H79" i="13"/>
  <c r="F79" i="13"/>
  <c r="E78" i="13"/>
  <c r="R122" i="13"/>
  <c r="R119" i="13"/>
  <c r="R117" i="13"/>
  <c r="R114" i="13"/>
  <c r="R112" i="13"/>
  <c r="R110" i="13"/>
  <c r="R107" i="13"/>
  <c r="R105" i="13"/>
  <c r="R103" i="13"/>
  <c r="R101" i="13"/>
  <c r="R99" i="13"/>
  <c r="R97" i="13"/>
  <c r="R95" i="13"/>
  <c r="R93" i="13"/>
  <c r="R80" i="13"/>
  <c r="R77" i="13"/>
  <c r="R74" i="13"/>
  <c r="R72" i="13"/>
  <c r="R70" i="13"/>
  <c r="R67" i="13"/>
  <c r="R65" i="13"/>
  <c r="R63" i="13"/>
  <c r="R61" i="13"/>
  <c r="R59" i="13"/>
  <c r="R57" i="13"/>
  <c r="R55" i="13"/>
  <c r="R53" i="13"/>
  <c r="R40" i="13"/>
  <c r="R37" i="13"/>
  <c r="R35" i="13"/>
  <c r="R32" i="13"/>
  <c r="R30" i="13"/>
  <c r="R28" i="13"/>
  <c r="R25" i="13"/>
  <c r="R23" i="13"/>
  <c r="R21" i="13"/>
  <c r="R19" i="13"/>
  <c r="R17" i="13"/>
  <c r="R15" i="13"/>
  <c r="R13" i="13"/>
  <c r="R11" i="13"/>
  <c r="W120" i="13"/>
  <c r="U120" i="13"/>
  <c r="Q120" i="13"/>
  <c r="M120" i="13"/>
  <c r="E120" i="13"/>
  <c r="V38" i="13"/>
  <c r="T38" i="13"/>
  <c r="R38" i="13"/>
  <c r="P38" i="13"/>
  <c r="N38" i="13"/>
  <c r="F38" i="13"/>
  <c r="U79" i="13"/>
  <c r="Q79" i="13"/>
  <c r="M79" i="13"/>
  <c r="E79" i="13"/>
  <c r="R121" i="13"/>
  <c r="R115" i="13"/>
  <c r="R111" i="13"/>
  <c r="R106" i="13"/>
  <c r="R102" i="13"/>
  <c r="R98" i="13"/>
  <c r="R94" i="13"/>
  <c r="R78" i="13"/>
  <c r="R73" i="13"/>
  <c r="R69" i="13"/>
  <c r="R64" i="13"/>
  <c r="R60" i="13"/>
  <c r="R56" i="13"/>
  <c r="R52" i="13"/>
  <c r="R36" i="13"/>
  <c r="R31" i="13"/>
  <c r="R26" i="13"/>
  <c r="R22" i="13"/>
  <c r="R18" i="13"/>
  <c r="R14" i="13"/>
  <c r="L38" i="13"/>
  <c r="H38" i="13"/>
  <c r="W79" i="13"/>
  <c r="R118" i="13"/>
  <c r="R113" i="13"/>
  <c r="R108" i="13"/>
  <c r="R104" i="13"/>
  <c r="R100" i="13"/>
  <c r="R96" i="13"/>
  <c r="R81" i="13"/>
  <c r="R76" i="13"/>
  <c r="R71" i="13"/>
  <c r="R66" i="13"/>
  <c r="R62" i="13"/>
  <c r="R58" i="13"/>
  <c r="R54" i="13"/>
  <c r="R39" i="13"/>
  <c r="R33" i="13"/>
  <c r="R29" i="13"/>
  <c r="R24" i="13"/>
  <c r="R20" i="13"/>
  <c r="R16" i="13"/>
  <c r="R12" i="13"/>
  <c r="Q3" i="14"/>
  <c r="Q9" i="13" s="1"/>
  <c r="P3" i="14"/>
  <c r="P9" i="13" s="1"/>
  <c r="W122" i="13"/>
  <c r="N122" i="13"/>
  <c r="F122" i="13"/>
  <c r="W81" i="13"/>
  <c r="N81" i="13"/>
  <c r="F81" i="13"/>
  <c r="V122" i="13"/>
  <c r="Q122" i="13"/>
  <c r="M122" i="13"/>
  <c r="V81" i="13"/>
  <c r="Q81" i="13"/>
  <c r="M81" i="13"/>
  <c r="U122" i="13"/>
  <c r="P122" i="13"/>
  <c r="L122" i="13"/>
  <c r="H122" i="13"/>
  <c r="U81" i="13"/>
  <c r="P81" i="13"/>
  <c r="L81" i="13"/>
  <c r="H81" i="13"/>
  <c r="T122" i="13"/>
  <c r="T81" i="13"/>
  <c r="T121" i="13"/>
  <c r="Q121" i="13"/>
  <c r="M121" i="13"/>
  <c r="T119" i="13"/>
  <c r="Q119" i="13"/>
  <c r="M119" i="13"/>
  <c r="T118" i="13"/>
  <c r="Q118" i="13"/>
  <c r="M118" i="13"/>
  <c r="T93" i="13"/>
  <c r="Q93" i="13"/>
  <c r="M93" i="13"/>
  <c r="T80" i="13"/>
  <c r="Q80" i="13"/>
  <c r="M80" i="13"/>
  <c r="T78" i="13"/>
  <c r="Q78" i="13"/>
  <c r="M78" i="13"/>
  <c r="T77" i="13"/>
  <c r="Q77" i="13"/>
  <c r="M77" i="13"/>
  <c r="W52" i="13"/>
  <c r="U52" i="13"/>
  <c r="P52" i="13"/>
  <c r="N52" i="13"/>
  <c r="L52" i="13"/>
  <c r="H52" i="13"/>
  <c r="F52" i="13"/>
  <c r="W39" i="13"/>
  <c r="U39" i="13"/>
  <c r="P39" i="13"/>
  <c r="N39" i="13"/>
  <c r="L39" i="13"/>
  <c r="H39" i="13"/>
  <c r="F39" i="13"/>
  <c r="W37" i="13"/>
  <c r="U37" i="13"/>
  <c r="W121" i="13"/>
  <c r="U121" i="13"/>
  <c r="P121" i="13"/>
  <c r="N121" i="13"/>
  <c r="L121" i="13"/>
  <c r="H121" i="13"/>
  <c r="F121" i="13"/>
  <c r="W119" i="13"/>
  <c r="U119" i="13"/>
  <c r="P119" i="13"/>
  <c r="N119" i="13"/>
  <c r="L119" i="13"/>
  <c r="H119" i="13"/>
  <c r="F119" i="13"/>
  <c r="W118" i="13"/>
  <c r="U118" i="13"/>
  <c r="P118" i="13"/>
  <c r="N118" i="13"/>
  <c r="L118" i="13"/>
  <c r="H118" i="13"/>
  <c r="F118" i="13"/>
  <c r="W93" i="13"/>
  <c r="U93" i="13"/>
  <c r="P93" i="13"/>
  <c r="N93" i="13"/>
  <c r="L93" i="13"/>
  <c r="H93" i="13"/>
  <c r="F93" i="13"/>
  <c r="W80" i="13"/>
  <c r="U80" i="13"/>
  <c r="P80" i="13"/>
  <c r="N80" i="13"/>
  <c r="L80" i="13"/>
  <c r="H80" i="13"/>
  <c r="F80" i="13"/>
  <c r="W78" i="13"/>
  <c r="U78" i="13"/>
  <c r="P78" i="13"/>
  <c r="N78" i="13"/>
  <c r="L78" i="13"/>
  <c r="H78" i="13"/>
  <c r="F78" i="13"/>
  <c r="W77" i="13"/>
  <c r="U77" i="13"/>
  <c r="P77" i="13"/>
  <c r="N77" i="13"/>
  <c r="L77" i="13"/>
  <c r="H77" i="13"/>
  <c r="F77" i="13"/>
  <c r="T52" i="13"/>
  <c r="Q52" i="13"/>
  <c r="M52" i="13"/>
  <c r="T39" i="13"/>
  <c r="Q39" i="13"/>
  <c r="M39" i="13"/>
  <c r="P37" i="13"/>
  <c r="N37" i="13"/>
  <c r="L37" i="13"/>
  <c r="H37" i="13"/>
  <c r="F37" i="13"/>
  <c r="W36" i="13"/>
  <c r="U36" i="13"/>
  <c r="P36" i="13"/>
  <c r="N36" i="13"/>
  <c r="L36" i="13"/>
  <c r="H36" i="13"/>
  <c r="F36" i="13"/>
  <c r="W11" i="13"/>
  <c r="U11" i="13"/>
  <c r="P11" i="13"/>
  <c r="N11" i="13"/>
  <c r="L11" i="13"/>
  <c r="H11" i="13"/>
  <c r="F11" i="13"/>
  <c r="T37" i="13"/>
  <c r="Q37" i="13"/>
  <c r="M37" i="13"/>
  <c r="T36" i="13"/>
  <c r="Q36" i="13"/>
  <c r="M36" i="13"/>
  <c r="T11" i="13"/>
  <c r="Q11" i="13"/>
  <c r="M11" i="13"/>
  <c r="Q117" i="13"/>
  <c r="Q114" i="13"/>
  <c r="Q112" i="13"/>
  <c r="Q110" i="13"/>
  <c r="Q107" i="13"/>
  <c r="Q105" i="13"/>
  <c r="Q103" i="13"/>
  <c r="Q101" i="13"/>
  <c r="Q99" i="13"/>
  <c r="Q97" i="13"/>
  <c r="Q95" i="13"/>
  <c r="Q76" i="13"/>
  <c r="Q73" i="13"/>
  <c r="Q71" i="13"/>
  <c r="Q69" i="13"/>
  <c r="Q66" i="13"/>
  <c r="Q64" i="13"/>
  <c r="Q62" i="13"/>
  <c r="Q60" i="13"/>
  <c r="Q58" i="13"/>
  <c r="Q56" i="13"/>
  <c r="Q54" i="13"/>
  <c r="Q35" i="13"/>
  <c r="Q32" i="13"/>
  <c r="Q30" i="13"/>
  <c r="Q28" i="13"/>
  <c r="Q25" i="13"/>
  <c r="Q23" i="13"/>
  <c r="Q21" i="13"/>
  <c r="Q19" i="13"/>
  <c r="Q17" i="13"/>
  <c r="Q15" i="13"/>
  <c r="Q13" i="13"/>
  <c r="P117" i="13"/>
  <c r="P114" i="13"/>
  <c r="P112" i="13"/>
  <c r="P110" i="13"/>
  <c r="P107" i="13"/>
  <c r="P105" i="13"/>
  <c r="P103" i="13"/>
  <c r="P101" i="13"/>
  <c r="P99" i="13"/>
  <c r="P97" i="13"/>
  <c r="P95" i="13"/>
  <c r="P76" i="13"/>
  <c r="P73" i="13"/>
  <c r="P71" i="13"/>
  <c r="P69" i="13"/>
  <c r="P66" i="13"/>
  <c r="P64" i="13"/>
  <c r="P62" i="13"/>
  <c r="P60" i="13"/>
  <c r="P58" i="13"/>
  <c r="P56" i="13"/>
  <c r="P54" i="13"/>
  <c r="P40" i="13"/>
  <c r="P33" i="13"/>
  <c r="P31" i="13"/>
  <c r="P29" i="13"/>
  <c r="P26" i="13"/>
  <c r="P24" i="13"/>
  <c r="P22" i="13"/>
  <c r="P20" i="13"/>
  <c r="Q113" i="13"/>
  <c r="Q108" i="13"/>
  <c r="Q104" i="13"/>
  <c r="Q100" i="13"/>
  <c r="Q96" i="13"/>
  <c r="Q72" i="13"/>
  <c r="Q67" i="13"/>
  <c r="Q63" i="13"/>
  <c r="Q59" i="13"/>
  <c r="Q55" i="13"/>
  <c r="Q40" i="13"/>
  <c r="Q31" i="13"/>
  <c r="Q26" i="13"/>
  <c r="Q22" i="13"/>
  <c r="Q18" i="13"/>
  <c r="Q14" i="13"/>
  <c r="P113" i="13"/>
  <c r="P108" i="13"/>
  <c r="P104" i="13"/>
  <c r="P100" i="13"/>
  <c r="P96" i="13"/>
  <c r="P72" i="13"/>
  <c r="P67" i="13"/>
  <c r="P63" i="13"/>
  <c r="P59" i="13"/>
  <c r="P55" i="13"/>
  <c r="P32" i="13"/>
  <c r="P28" i="13"/>
  <c r="P23" i="13"/>
  <c r="P19" i="13"/>
  <c r="P17" i="13"/>
  <c r="P15" i="13"/>
  <c r="P13" i="13"/>
  <c r="L117" i="13"/>
  <c r="L114" i="13"/>
  <c r="L112" i="13"/>
  <c r="L110" i="13"/>
  <c r="L107" i="13"/>
  <c r="L105" i="13"/>
  <c r="L103" i="13"/>
  <c r="L101" i="13"/>
  <c r="L99" i="13"/>
  <c r="L97" i="13"/>
  <c r="L95" i="13"/>
  <c r="L76" i="13"/>
  <c r="L73" i="13"/>
  <c r="L71" i="13"/>
  <c r="L69" i="13"/>
  <c r="L66" i="13"/>
  <c r="L64" i="13"/>
  <c r="L62" i="13"/>
  <c r="L60" i="13"/>
  <c r="L58" i="13"/>
  <c r="L56" i="13"/>
  <c r="L54" i="13"/>
  <c r="L40" i="13"/>
  <c r="L33" i="13"/>
  <c r="L31" i="13"/>
  <c r="L29" i="13"/>
  <c r="L26" i="13"/>
  <c r="L24" i="13"/>
  <c r="L22" i="13"/>
  <c r="L20" i="13"/>
  <c r="L18" i="13"/>
  <c r="L16" i="13"/>
  <c r="L14" i="13"/>
  <c r="L12" i="13"/>
  <c r="H115" i="13"/>
  <c r="H113" i="13"/>
  <c r="H111" i="13"/>
  <c r="H108" i="13"/>
  <c r="H106" i="13"/>
  <c r="H104" i="13"/>
  <c r="H102" i="13"/>
  <c r="H100" i="13"/>
  <c r="H98" i="13"/>
  <c r="H96" i="13"/>
  <c r="H94" i="13"/>
  <c r="H74" i="13"/>
  <c r="H72" i="13"/>
  <c r="H70" i="13"/>
  <c r="H67" i="13"/>
  <c r="H65" i="13"/>
  <c r="H63" i="13"/>
  <c r="H61" i="13"/>
  <c r="H59" i="13"/>
  <c r="H57" i="13"/>
  <c r="H55" i="13"/>
  <c r="H53" i="13"/>
  <c r="H35" i="13"/>
  <c r="H32" i="13"/>
  <c r="H30" i="13"/>
  <c r="H28" i="13"/>
  <c r="H25" i="13"/>
  <c r="H23" i="13"/>
  <c r="H21" i="13"/>
  <c r="H19" i="13"/>
  <c r="H17" i="13"/>
  <c r="H15" i="13"/>
  <c r="H13" i="13"/>
  <c r="Q115" i="13"/>
  <c r="Q111" i="13"/>
  <c r="Q106" i="13"/>
  <c r="Q102" i="13"/>
  <c r="Q98" i="13"/>
  <c r="Q94" i="13"/>
  <c r="Q74" i="13"/>
  <c r="Q70" i="13"/>
  <c r="Q65" i="13"/>
  <c r="Q61" i="13"/>
  <c r="Q57" i="13"/>
  <c r="Q53" i="13"/>
  <c r="Q33" i="13"/>
  <c r="Q29" i="13"/>
  <c r="Q24" i="13"/>
  <c r="Q20" i="13"/>
  <c r="Q16" i="13"/>
  <c r="Q12" i="13"/>
  <c r="P115" i="13"/>
  <c r="P111" i="13"/>
  <c r="P106" i="13"/>
  <c r="P102" i="13"/>
  <c r="P98" i="13"/>
  <c r="P94" i="13"/>
  <c r="P74" i="13"/>
  <c r="P70" i="13"/>
  <c r="P65" i="13"/>
  <c r="P61" i="13"/>
  <c r="P57" i="13"/>
  <c r="P53" i="13"/>
  <c r="P35" i="13"/>
  <c r="P30" i="13"/>
  <c r="P25" i="13"/>
  <c r="P21" i="13"/>
  <c r="P18" i="13"/>
  <c r="P16" i="13"/>
  <c r="P14" i="13"/>
  <c r="P12" i="13"/>
  <c r="L115" i="13"/>
  <c r="L113" i="13"/>
  <c r="L111" i="13"/>
  <c r="L108" i="13"/>
  <c r="L104" i="13"/>
  <c r="L100" i="13"/>
  <c r="L96" i="13"/>
  <c r="L72" i="13"/>
  <c r="L67" i="13"/>
  <c r="L63" i="13"/>
  <c r="L59" i="13"/>
  <c r="L55" i="13"/>
  <c r="L32" i="13"/>
  <c r="L28" i="13"/>
  <c r="L23" i="13"/>
  <c r="L19" i="13"/>
  <c r="L15" i="13"/>
  <c r="H117" i="13"/>
  <c r="H112" i="13"/>
  <c r="H107" i="13"/>
  <c r="H103" i="13"/>
  <c r="H99" i="13"/>
  <c r="H95" i="13"/>
  <c r="H76" i="13"/>
  <c r="H71" i="13"/>
  <c r="H66" i="13"/>
  <c r="H62" i="13"/>
  <c r="H58" i="13"/>
  <c r="H54" i="13"/>
  <c r="H40" i="13"/>
  <c r="H31" i="13"/>
  <c r="H26" i="13"/>
  <c r="H22" i="13"/>
  <c r="H18" i="13"/>
  <c r="H14" i="13"/>
  <c r="L106" i="13"/>
  <c r="L102" i="13"/>
  <c r="L98" i="13"/>
  <c r="L94" i="13"/>
  <c r="L74" i="13"/>
  <c r="L70" i="13"/>
  <c r="L65" i="13"/>
  <c r="L61" i="13"/>
  <c r="L57" i="13"/>
  <c r="L53" i="13"/>
  <c r="L35" i="13"/>
  <c r="L30" i="13"/>
  <c r="L25" i="13"/>
  <c r="L21" i="13"/>
  <c r="L17" i="13"/>
  <c r="L13" i="13"/>
  <c r="H114" i="13"/>
  <c r="H110" i="13"/>
  <c r="H105" i="13"/>
  <c r="H101" i="13"/>
  <c r="H97" i="13"/>
  <c r="H73" i="13"/>
  <c r="H69" i="13"/>
  <c r="H64" i="13"/>
  <c r="H60" i="13"/>
  <c r="H56" i="13"/>
  <c r="H33" i="13"/>
  <c r="H29" i="13"/>
  <c r="H24" i="13"/>
  <c r="H20" i="13"/>
  <c r="H16" i="13"/>
  <c r="H12" i="13"/>
  <c r="T17" i="13"/>
  <c r="W14" i="13"/>
  <c r="W22" i="13"/>
  <c r="W31" i="13"/>
  <c r="W56" i="13"/>
  <c r="W64" i="13"/>
  <c r="W73" i="13"/>
  <c r="W99" i="13"/>
  <c r="W107" i="13"/>
  <c r="W117" i="13"/>
  <c r="W18" i="13"/>
  <c r="W26" i="13"/>
  <c r="W40" i="13"/>
  <c r="W60" i="13"/>
  <c r="W69" i="13"/>
  <c r="W95" i="13"/>
  <c r="W103" i="13"/>
  <c r="W112" i="13"/>
  <c r="W12" i="13"/>
  <c r="W16" i="13"/>
  <c r="W20" i="13"/>
  <c r="W24" i="13"/>
  <c r="W29" i="13"/>
  <c r="W33" i="13"/>
  <c r="W54" i="13"/>
  <c r="W58" i="13"/>
  <c r="W62" i="13"/>
  <c r="W66" i="13"/>
  <c r="W71" i="13"/>
  <c r="W76" i="13"/>
  <c r="W97" i="13"/>
  <c r="W101" i="13"/>
  <c r="W105" i="13"/>
  <c r="W110" i="13"/>
  <c r="W114" i="13"/>
  <c r="W13" i="13"/>
  <c r="W15" i="13"/>
  <c r="W17" i="13"/>
  <c r="W19" i="13"/>
  <c r="W21" i="13"/>
  <c r="W23" i="13"/>
  <c r="W25" i="13"/>
  <c r="W28" i="13"/>
  <c r="W30" i="13"/>
  <c r="W32" i="13"/>
  <c r="W35" i="13"/>
  <c r="W53" i="13"/>
  <c r="W55" i="13"/>
  <c r="W57" i="13"/>
  <c r="W59" i="13"/>
  <c r="W61" i="13"/>
  <c r="W63" i="13"/>
  <c r="W65" i="13"/>
  <c r="W67" i="13"/>
  <c r="W70" i="13"/>
  <c r="W72" i="13"/>
  <c r="W74" i="13"/>
  <c r="W94" i="13"/>
  <c r="W96" i="13"/>
  <c r="W98" i="13"/>
  <c r="W100" i="13"/>
  <c r="W102" i="13"/>
  <c r="W104" i="13"/>
  <c r="W106" i="13"/>
  <c r="W108" i="13"/>
  <c r="W111" i="13"/>
  <c r="W113" i="13"/>
  <c r="W115" i="13"/>
  <c r="R68" i="13" l="1"/>
  <c r="R75" i="13"/>
  <c r="R27" i="13"/>
  <c r="R123" i="13"/>
  <c r="R34" i="13"/>
  <c r="R82" i="13"/>
  <c r="R109" i="13"/>
  <c r="R116" i="13"/>
  <c r="R41" i="13"/>
  <c r="Q27" i="13"/>
  <c r="H123" i="13"/>
  <c r="H82" i="13"/>
  <c r="W123" i="13"/>
  <c r="W82" i="13"/>
  <c r="L82" i="13"/>
  <c r="Q82" i="13"/>
  <c r="P41" i="13"/>
  <c r="P123" i="13"/>
  <c r="L41" i="13"/>
  <c r="H27" i="13"/>
  <c r="H116" i="13"/>
  <c r="L68" i="13"/>
  <c r="L109" i="13"/>
  <c r="L123" i="13"/>
  <c r="P82" i="13"/>
  <c r="Q123" i="13"/>
  <c r="W109" i="13"/>
  <c r="H68" i="13"/>
  <c r="W68" i="13"/>
  <c r="P68" i="13"/>
  <c r="P109" i="13"/>
  <c r="Q68" i="13"/>
  <c r="Q109" i="13"/>
  <c r="H109" i="13"/>
  <c r="L27" i="13"/>
  <c r="W27" i="13"/>
  <c r="P27" i="13"/>
  <c r="H34" i="13"/>
  <c r="L34" i="13"/>
  <c r="H41" i="13"/>
  <c r="V59" i="14"/>
  <c r="L116" i="13"/>
  <c r="P75" i="13"/>
  <c r="Q34" i="13"/>
  <c r="Q116" i="13"/>
  <c r="H75" i="13"/>
  <c r="L75" i="13"/>
  <c r="P116" i="13"/>
  <c r="Q41" i="13"/>
  <c r="Q75" i="13"/>
  <c r="W41" i="13"/>
  <c r="P34" i="13"/>
  <c r="W75" i="13"/>
  <c r="W116" i="13"/>
  <c r="W34" i="13"/>
  <c r="R42" i="13" l="1"/>
  <c r="R83" i="13"/>
  <c r="R47" i="13"/>
  <c r="R49" i="13" s="1"/>
  <c r="R51" i="13" s="1"/>
  <c r="R88" i="13"/>
  <c r="R90" i="13" s="1"/>
  <c r="R92" i="13" s="1"/>
  <c r="R6" i="13"/>
  <c r="R8" i="13" s="1"/>
  <c r="R10" i="13" s="1"/>
  <c r="R124" i="13"/>
  <c r="L88" i="13"/>
  <c r="L90" i="13" s="1"/>
  <c r="P47" i="13"/>
  <c r="P49" i="13" s="1"/>
  <c r="P51" i="13" s="1"/>
  <c r="H6" i="13"/>
  <c r="H8" i="13" s="1"/>
  <c r="L83" i="13"/>
  <c r="H42" i="13"/>
  <c r="Q83" i="13"/>
  <c r="Q88" i="13"/>
  <c r="Q90" i="13" s="1"/>
  <c r="P83" i="13"/>
  <c r="H88" i="13"/>
  <c r="H90" i="13" s="1"/>
  <c r="Q124" i="13"/>
  <c r="H83" i="13"/>
  <c r="Q6" i="13"/>
  <c r="Q8" i="13" s="1"/>
  <c r="W42" i="13"/>
  <c r="W88" i="13"/>
  <c r="W90" i="13" s="1"/>
  <c r="P124" i="13"/>
  <c r="Q42" i="13"/>
  <c r="L124" i="13"/>
  <c r="L6" i="13"/>
  <c r="L8" i="13" s="1"/>
  <c r="H124" i="13"/>
  <c r="L42" i="13"/>
  <c r="L47" i="13"/>
  <c r="L49" i="13" s="1"/>
  <c r="H47" i="13"/>
  <c r="H49" i="13" s="1"/>
  <c r="Q47" i="13"/>
  <c r="Q49" i="13" s="1"/>
  <c r="P88" i="13"/>
  <c r="P90" i="13" s="1"/>
  <c r="P92" i="13" s="1"/>
  <c r="P6" i="13"/>
  <c r="P8" i="13" s="1"/>
  <c r="P10" i="13" s="1"/>
  <c r="W47" i="13"/>
  <c r="W49" i="13" s="1"/>
  <c r="W6" i="13"/>
  <c r="W8" i="13" s="1"/>
  <c r="W83" i="13"/>
  <c r="W124" i="13"/>
  <c r="P42"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L68" i="14" l="1"/>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7" i="13"/>
  <c r="G87" i="13"/>
  <c r="I87" i="13"/>
  <c r="J87" i="13"/>
  <c r="K87" i="13"/>
  <c r="M87" i="13"/>
  <c r="N87" i="13"/>
  <c r="O87" i="13"/>
  <c r="S87" i="13"/>
  <c r="T87" i="13"/>
  <c r="U87" i="13"/>
  <c r="V87" i="13"/>
  <c r="E87" i="13"/>
  <c r="F46" i="13"/>
  <c r="G46" i="13"/>
  <c r="I46" i="13"/>
  <c r="J46" i="13"/>
  <c r="K46" i="13"/>
  <c r="M46" i="13"/>
  <c r="N46" i="13"/>
  <c r="O46" i="13"/>
  <c r="S46" i="13"/>
  <c r="T46" i="13"/>
  <c r="U46" i="13"/>
  <c r="V46" i="13"/>
  <c r="E46" i="13"/>
  <c r="L106" i="14" l="1"/>
  <c r="L92" i="14"/>
  <c r="L100" i="14"/>
  <c r="D46" i="13"/>
  <c r="D87" i="13"/>
  <c r="U83" i="17"/>
  <c r="V83" i="17"/>
  <c r="U82" i="17"/>
  <c r="V82" i="17"/>
  <c r="U10" i="17" l="1"/>
  <c r="V10" i="17"/>
  <c r="V81" i="17" l="1"/>
  <c r="U81" i="17"/>
  <c r="E1" i="17" l="1"/>
  <c r="E1" i="4"/>
  <c r="F49" i="14" l="1"/>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I38" i="13" l="1"/>
  <c r="I120" i="13"/>
  <c r="I121" i="13"/>
  <c r="I119" i="13"/>
  <c r="I118" i="13"/>
  <c r="I93" i="13"/>
  <c r="I80" i="13"/>
  <c r="I78" i="13"/>
  <c r="I77" i="13"/>
  <c r="I37" i="13"/>
  <c r="I36" i="13"/>
  <c r="I11" i="13"/>
  <c r="I52" i="13"/>
  <c r="I39" i="13"/>
  <c r="I79" i="13"/>
  <c r="I122" i="13"/>
  <c r="I81" i="13"/>
  <c r="S122" i="13"/>
  <c r="S118" i="13"/>
  <c r="S77" i="13"/>
  <c r="S81" i="13"/>
  <c r="S93" i="13"/>
  <c r="S37" i="13"/>
  <c r="S11" i="13"/>
  <c r="S120" i="13"/>
  <c r="S52" i="13"/>
  <c r="S121" i="13"/>
  <c r="S80" i="13"/>
  <c r="S36" i="13"/>
  <c r="S78" i="13"/>
  <c r="S38" i="13"/>
  <c r="S79" i="13"/>
  <c r="S39" i="13"/>
  <c r="S119" i="13"/>
  <c r="K79" i="13"/>
  <c r="K81" i="13"/>
  <c r="K121" i="13"/>
  <c r="K80" i="13"/>
  <c r="K120" i="13"/>
  <c r="K119" i="13"/>
  <c r="K78" i="13"/>
  <c r="K37" i="13"/>
  <c r="K39" i="13"/>
  <c r="K11" i="13"/>
  <c r="K38" i="13"/>
  <c r="K122" i="13"/>
  <c r="K118" i="13"/>
  <c r="K77" i="13"/>
  <c r="K52" i="13"/>
  <c r="K36" i="13"/>
  <c r="K93" i="13"/>
  <c r="J118" i="13"/>
  <c r="J77" i="13"/>
  <c r="J38" i="13"/>
  <c r="J93" i="13"/>
  <c r="J37" i="13"/>
  <c r="J11" i="13"/>
  <c r="J120" i="13"/>
  <c r="J122" i="13"/>
  <c r="J52" i="13"/>
  <c r="J121" i="13"/>
  <c r="J80" i="13"/>
  <c r="J36" i="13"/>
  <c r="J78" i="13"/>
  <c r="J79" i="13"/>
  <c r="J81" i="13"/>
  <c r="J39" i="13"/>
  <c r="J119" i="13"/>
  <c r="G38" i="13"/>
  <c r="G120" i="13"/>
  <c r="G52" i="13"/>
  <c r="G81" i="13"/>
  <c r="G119" i="13"/>
  <c r="G93" i="13"/>
  <c r="G78" i="13"/>
  <c r="G37" i="13"/>
  <c r="G11" i="13"/>
  <c r="G122" i="13"/>
  <c r="G39" i="13"/>
  <c r="G79" i="13"/>
  <c r="G121" i="13"/>
  <c r="G118" i="13"/>
  <c r="G80" i="13"/>
  <c r="G77" i="13"/>
  <c r="G36" i="13"/>
  <c r="O120" i="13"/>
  <c r="O79" i="13"/>
  <c r="O122" i="13"/>
  <c r="O81" i="13"/>
  <c r="O119" i="13"/>
  <c r="O93" i="13"/>
  <c r="O78" i="13"/>
  <c r="O39" i="13"/>
  <c r="O37" i="13"/>
  <c r="O11" i="13"/>
  <c r="O38" i="13"/>
  <c r="D38" i="13" s="1"/>
  <c r="O121" i="13"/>
  <c r="O118" i="13"/>
  <c r="O80" i="13"/>
  <c r="O77" i="13"/>
  <c r="O52" i="13"/>
  <c r="O36" i="13"/>
  <c r="E81" i="13"/>
  <c r="E52" i="13"/>
  <c r="E39" i="13"/>
  <c r="E121" i="13"/>
  <c r="E119" i="13"/>
  <c r="E118" i="13"/>
  <c r="E93" i="13"/>
  <c r="E80" i="13"/>
  <c r="E77" i="13"/>
  <c r="E122" i="13"/>
  <c r="E15" i="13"/>
  <c r="E37" i="13"/>
  <c r="E36" i="13"/>
  <c r="E11" i="13"/>
  <c r="V121" i="13"/>
  <c r="V118" i="13"/>
  <c r="V80" i="13"/>
  <c r="V77" i="13"/>
  <c r="V52" i="13"/>
  <c r="V37" i="13"/>
  <c r="V11" i="13"/>
  <c r="V119" i="13"/>
  <c r="V93" i="13"/>
  <c r="V78" i="13"/>
  <c r="V39" i="13"/>
  <c r="V36" i="13"/>
  <c r="M3" i="17"/>
  <c r="D120" i="13" l="1"/>
  <c r="D122" i="13"/>
  <c r="D78" i="13"/>
  <c r="D79" i="13"/>
  <c r="D81"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21" i="13"/>
  <c r="D36" i="13"/>
  <c r="D118" i="13"/>
  <c r="D93" i="13"/>
  <c r="D52" i="13"/>
  <c r="D37" i="13"/>
  <c r="D77" i="13"/>
  <c r="D119" i="13"/>
  <c r="D39" i="13"/>
  <c r="D11" i="13"/>
  <c r="D80" i="13"/>
  <c r="H30" i="14" l="1"/>
  <c r="H39" i="14"/>
  <c r="H42" i="14"/>
  <c r="H5" i="14"/>
  <c r="H15" i="14"/>
  <c r="H53" i="14"/>
  <c r="H59" i="14"/>
  <c r="H72" i="14"/>
  <c r="H9" i="14"/>
  <c r="H19" i="14"/>
  <c r="H63" i="14"/>
  <c r="H58" i="14" s="1"/>
  <c r="H80" i="14"/>
  <c r="H71" i="14" s="1"/>
  <c r="H50" i="13" s="1"/>
  <c r="H51" i="13" s="1"/>
  <c r="H33" i="14"/>
  <c r="H23" i="14"/>
  <c r="H91" i="14"/>
  <c r="H91" i="13" s="1"/>
  <c r="H92" i="13" s="1"/>
  <c r="V114" i="13"/>
  <c r="V110" i="13"/>
  <c r="V105" i="13"/>
  <c r="V101" i="13"/>
  <c r="V97" i="13"/>
  <c r="V76" i="13"/>
  <c r="V71" i="13"/>
  <c r="V66" i="13"/>
  <c r="V62" i="13"/>
  <c r="V58" i="13"/>
  <c r="V54" i="13"/>
  <c r="V33" i="13"/>
  <c r="V29" i="13"/>
  <c r="V24" i="13"/>
  <c r="V20" i="13"/>
  <c r="V16" i="13"/>
  <c r="V12" i="13"/>
  <c r="V113" i="13"/>
  <c r="V108" i="13"/>
  <c r="V104" i="13"/>
  <c r="V100" i="13"/>
  <c r="V96" i="13"/>
  <c r="V74" i="13"/>
  <c r="V70" i="13"/>
  <c r="V65" i="13"/>
  <c r="V61" i="13"/>
  <c r="V57" i="13"/>
  <c r="V53" i="13"/>
  <c r="V32" i="13"/>
  <c r="V28" i="13"/>
  <c r="V23" i="13"/>
  <c r="V19" i="13"/>
  <c r="V15" i="13"/>
  <c r="V111" i="13"/>
  <c r="V102" i="13"/>
  <c r="V98" i="13"/>
  <c r="V72" i="13"/>
  <c r="V63" i="13"/>
  <c r="V55" i="13"/>
  <c r="V30" i="13"/>
  <c r="V21" i="13"/>
  <c r="V13" i="13"/>
  <c r="V117" i="13"/>
  <c r="V112" i="13"/>
  <c r="V107" i="13"/>
  <c r="V103" i="13"/>
  <c r="V99" i="13"/>
  <c r="V95" i="13"/>
  <c r="V73" i="13"/>
  <c r="V69" i="13"/>
  <c r="V64" i="13"/>
  <c r="V60" i="13"/>
  <c r="V56" i="13"/>
  <c r="V40" i="13"/>
  <c r="V31" i="13"/>
  <c r="V26" i="13"/>
  <c r="V22" i="13"/>
  <c r="V18" i="13"/>
  <c r="V14" i="13"/>
  <c r="V115" i="13"/>
  <c r="V106" i="13"/>
  <c r="V94" i="13"/>
  <c r="V67" i="13"/>
  <c r="V59" i="13"/>
  <c r="V35" i="13"/>
  <c r="V25" i="13"/>
  <c r="V17" i="13"/>
  <c r="T117" i="13"/>
  <c r="O117" i="13"/>
  <c r="M117" i="13"/>
  <c r="J117" i="13"/>
  <c r="G117" i="13"/>
  <c r="E117" i="13"/>
  <c r="E123" i="13" s="1"/>
  <c r="U115" i="13"/>
  <c r="S115" i="13"/>
  <c r="N115" i="13"/>
  <c r="K115" i="13"/>
  <c r="I115" i="13"/>
  <c r="F115" i="13"/>
  <c r="T114" i="13"/>
  <c r="O114" i="13"/>
  <c r="M114" i="13"/>
  <c r="J114" i="13"/>
  <c r="G114" i="13"/>
  <c r="E114" i="13"/>
  <c r="U113" i="13"/>
  <c r="S113" i="13"/>
  <c r="N113" i="13"/>
  <c r="K113" i="13"/>
  <c r="I113" i="13"/>
  <c r="F113" i="13"/>
  <c r="T112" i="13"/>
  <c r="O112" i="13"/>
  <c r="M112" i="13"/>
  <c r="J112" i="13"/>
  <c r="G112" i="13"/>
  <c r="E112" i="13"/>
  <c r="U111" i="13"/>
  <c r="S111" i="13"/>
  <c r="N111" i="13"/>
  <c r="K111" i="13"/>
  <c r="I111" i="13"/>
  <c r="F111" i="13"/>
  <c r="T110" i="13"/>
  <c r="O110" i="13"/>
  <c r="M110" i="13"/>
  <c r="J110" i="13"/>
  <c r="G110" i="13"/>
  <c r="E110" i="13"/>
  <c r="U108" i="13"/>
  <c r="S108" i="13"/>
  <c r="N108" i="13"/>
  <c r="K108" i="13"/>
  <c r="I108" i="13"/>
  <c r="F108" i="13"/>
  <c r="T107" i="13"/>
  <c r="O107" i="13"/>
  <c r="M107" i="13"/>
  <c r="J107" i="13"/>
  <c r="G107" i="13"/>
  <c r="E107" i="13"/>
  <c r="U106" i="13"/>
  <c r="S106" i="13"/>
  <c r="N106" i="13"/>
  <c r="K106" i="13"/>
  <c r="I106" i="13"/>
  <c r="F106" i="13"/>
  <c r="T105" i="13"/>
  <c r="O105" i="13"/>
  <c r="M105" i="13"/>
  <c r="J105" i="13"/>
  <c r="G105" i="13"/>
  <c r="E105" i="13"/>
  <c r="U104" i="13"/>
  <c r="S104" i="13"/>
  <c r="N104" i="13"/>
  <c r="K104" i="13"/>
  <c r="I104" i="13"/>
  <c r="F104" i="13"/>
  <c r="U117" i="13"/>
  <c r="N117" i="13"/>
  <c r="I117" i="13"/>
  <c r="O115" i="13"/>
  <c r="J115" i="13"/>
  <c r="E115" i="13"/>
  <c r="S114" i="13"/>
  <c r="K114" i="13"/>
  <c r="F114" i="13"/>
  <c r="T113" i="13"/>
  <c r="M113" i="13"/>
  <c r="G113" i="13"/>
  <c r="U112" i="13"/>
  <c r="N112" i="13"/>
  <c r="I112" i="13"/>
  <c r="O111" i="13"/>
  <c r="J111" i="13"/>
  <c r="E111" i="13"/>
  <c r="S110" i="13"/>
  <c r="K110" i="13"/>
  <c r="F110" i="13"/>
  <c r="T108" i="13"/>
  <c r="M108" i="13"/>
  <c r="G108" i="13"/>
  <c r="U107" i="13"/>
  <c r="N107" i="13"/>
  <c r="I107" i="13"/>
  <c r="O106" i="13"/>
  <c r="J106" i="13"/>
  <c r="E106" i="13"/>
  <c r="S105" i="13"/>
  <c r="K105" i="13"/>
  <c r="F105" i="13"/>
  <c r="T104" i="13"/>
  <c r="M104" i="13"/>
  <c r="G104" i="13"/>
  <c r="U103" i="13"/>
  <c r="S103" i="13"/>
  <c r="N103" i="13"/>
  <c r="K103" i="13"/>
  <c r="I103" i="13"/>
  <c r="F103" i="13"/>
  <c r="T102" i="13"/>
  <c r="O102" i="13"/>
  <c r="M102" i="13"/>
  <c r="J102" i="13"/>
  <c r="G102" i="13"/>
  <c r="E102" i="13"/>
  <c r="U101" i="13"/>
  <c r="S101" i="13"/>
  <c r="N101" i="13"/>
  <c r="K101" i="13"/>
  <c r="I101" i="13"/>
  <c r="F101" i="13"/>
  <c r="T100" i="13"/>
  <c r="O100" i="13"/>
  <c r="M100" i="13"/>
  <c r="J100" i="13"/>
  <c r="G100" i="13"/>
  <c r="E100" i="13"/>
  <c r="U99" i="13"/>
  <c r="S99" i="13"/>
  <c r="N99" i="13"/>
  <c r="K99" i="13"/>
  <c r="I99" i="13"/>
  <c r="F99" i="13"/>
  <c r="T98" i="13"/>
  <c r="O98" i="13"/>
  <c r="M98" i="13"/>
  <c r="J98" i="13"/>
  <c r="G98" i="13"/>
  <c r="E98" i="13"/>
  <c r="U97" i="13"/>
  <c r="S97" i="13"/>
  <c r="N97" i="13"/>
  <c r="K97" i="13"/>
  <c r="I97" i="13"/>
  <c r="F97" i="13"/>
  <c r="T96" i="13"/>
  <c r="O96" i="13"/>
  <c r="M96" i="13"/>
  <c r="J96" i="13"/>
  <c r="G96" i="13"/>
  <c r="E96" i="13"/>
  <c r="U95" i="13"/>
  <c r="S95" i="13"/>
  <c r="N95" i="13"/>
  <c r="K95" i="13"/>
  <c r="I95" i="13"/>
  <c r="F95" i="13"/>
  <c r="T94" i="13"/>
  <c r="O94" i="13"/>
  <c r="M94" i="13"/>
  <c r="J94" i="13"/>
  <c r="G94" i="13"/>
  <c r="E94" i="13"/>
  <c r="S117" i="13"/>
  <c r="K117" i="13"/>
  <c r="K123" i="13" s="1"/>
  <c r="F117" i="13"/>
  <c r="T115" i="13"/>
  <c r="M115" i="13"/>
  <c r="G115" i="13"/>
  <c r="U114" i="13"/>
  <c r="N114" i="13"/>
  <c r="I114" i="13"/>
  <c r="O113" i="13"/>
  <c r="J113" i="13"/>
  <c r="E113" i="13"/>
  <c r="S112" i="13"/>
  <c r="K112" i="13"/>
  <c r="F112" i="13"/>
  <c r="T111" i="13"/>
  <c r="M111" i="13"/>
  <c r="G111" i="13"/>
  <c r="U110" i="13"/>
  <c r="N110" i="13"/>
  <c r="I110" i="13"/>
  <c r="O108" i="13"/>
  <c r="J108" i="13"/>
  <c r="E108" i="13"/>
  <c r="S107" i="13"/>
  <c r="K107" i="13"/>
  <c r="F107" i="13"/>
  <c r="T106" i="13"/>
  <c r="M106" i="13"/>
  <c r="G106" i="13"/>
  <c r="U105" i="13"/>
  <c r="N105" i="13"/>
  <c r="I105" i="13"/>
  <c r="O104" i="13"/>
  <c r="J104" i="13"/>
  <c r="E104" i="13"/>
  <c r="T103" i="13"/>
  <c r="O103" i="13"/>
  <c r="M103" i="13"/>
  <c r="J103" i="13"/>
  <c r="G103" i="13"/>
  <c r="E103" i="13"/>
  <c r="U102" i="13"/>
  <c r="S102" i="13"/>
  <c r="N102" i="13"/>
  <c r="K102" i="13"/>
  <c r="I102" i="13"/>
  <c r="F102" i="13"/>
  <c r="T101" i="13"/>
  <c r="O101" i="13"/>
  <c r="M101" i="13"/>
  <c r="J101" i="13"/>
  <c r="G101" i="13"/>
  <c r="E101" i="13"/>
  <c r="U100" i="13"/>
  <c r="S100" i="13"/>
  <c r="N100" i="13"/>
  <c r="I100" i="13"/>
  <c r="O99" i="13"/>
  <c r="J99" i="13"/>
  <c r="E99" i="13"/>
  <c r="S98" i="13"/>
  <c r="K98" i="13"/>
  <c r="F98" i="13"/>
  <c r="T97" i="13"/>
  <c r="M97" i="13"/>
  <c r="G97" i="13"/>
  <c r="U96" i="13"/>
  <c r="N96" i="13"/>
  <c r="I96" i="13"/>
  <c r="O95" i="13"/>
  <c r="J95" i="13"/>
  <c r="E95" i="13"/>
  <c r="S94" i="13"/>
  <c r="K94" i="13"/>
  <c r="F94" i="13"/>
  <c r="K100" i="13"/>
  <c r="F100" i="13"/>
  <c r="T99" i="13"/>
  <c r="M99" i="13"/>
  <c r="G99" i="13"/>
  <c r="U98" i="13"/>
  <c r="N98" i="13"/>
  <c r="I98" i="13"/>
  <c r="O97" i="13"/>
  <c r="J97" i="13"/>
  <c r="E97" i="13"/>
  <c r="S96" i="13"/>
  <c r="K96" i="13"/>
  <c r="F96" i="13"/>
  <c r="T95" i="13"/>
  <c r="M95" i="13"/>
  <c r="G95" i="13"/>
  <c r="U94" i="13"/>
  <c r="N94" i="13"/>
  <c r="I94" i="13"/>
  <c r="O76" i="13"/>
  <c r="O82" i="13" s="1"/>
  <c r="J76" i="13"/>
  <c r="J82" i="13" s="1"/>
  <c r="E76" i="13"/>
  <c r="E82" i="13" s="1"/>
  <c r="S74" i="13"/>
  <c r="K74" i="13"/>
  <c r="F74" i="13"/>
  <c r="T73" i="13"/>
  <c r="M73" i="13"/>
  <c r="G73" i="13"/>
  <c r="U72" i="13"/>
  <c r="N72" i="13"/>
  <c r="I72" i="13"/>
  <c r="O71" i="13"/>
  <c r="J71" i="13"/>
  <c r="E71" i="13"/>
  <c r="S70" i="13"/>
  <c r="K70" i="13"/>
  <c r="F70" i="13"/>
  <c r="T69" i="13"/>
  <c r="M69" i="13"/>
  <c r="G69" i="13"/>
  <c r="U67" i="13"/>
  <c r="N67" i="13"/>
  <c r="I67" i="13"/>
  <c r="O66" i="13"/>
  <c r="J66" i="13"/>
  <c r="E66" i="13"/>
  <c r="S65" i="13"/>
  <c r="K65" i="13"/>
  <c r="F65" i="13"/>
  <c r="T64" i="13"/>
  <c r="M64" i="13"/>
  <c r="G64" i="13"/>
  <c r="U63" i="13"/>
  <c r="N63" i="13"/>
  <c r="I63" i="13"/>
  <c r="O62" i="13"/>
  <c r="J62" i="13"/>
  <c r="E62" i="13"/>
  <c r="N76" i="13"/>
  <c r="J74" i="13"/>
  <c r="S73" i="13"/>
  <c r="F73" i="13"/>
  <c r="M72" i="13"/>
  <c r="U71" i="13"/>
  <c r="I71" i="13"/>
  <c r="O70" i="13"/>
  <c r="E70" i="13"/>
  <c r="K69" i="13"/>
  <c r="T67" i="13"/>
  <c r="G67" i="13"/>
  <c r="N66" i="13"/>
  <c r="J65" i="13"/>
  <c r="S64" i="13"/>
  <c r="F64" i="13"/>
  <c r="M63" i="13"/>
  <c r="U62" i="13"/>
  <c r="I62" i="13"/>
  <c r="T61" i="13"/>
  <c r="M61" i="13"/>
  <c r="G61" i="13"/>
  <c r="U60" i="13"/>
  <c r="N60" i="13"/>
  <c r="I60" i="13"/>
  <c r="O59" i="13"/>
  <c r="J59" i="13"/>
  <c r="E59" i="13"/>
  <c r="S58" i="13"/>
  <c r="K58" i="13"/>
  <c r="F58" i="13"/>
  <c r="T57" i="13"/>
  <c r="M57" i="13"/>
  <c r="G57" i="13"/>
  <c r="U56" i="13"/>
  <c r="N56" i="13"/>
  <c r="I56" i="13"/>
  <c r="O55" i="13"/>
  <c r="T76" i="13"/>
  <c r="G76" i="13"/>
  <c r="N74" i="13"/>
  <c r="J73" i="13"/>
  <c r="S72" i="13"/>
  <c r="F72" i="13"/>
  <c r="M71" i="13"/>
  <c r="U70" i="13"/>
  <c r="I70" i="13"/>
  <c r="O69" i="13"/>
  <c r="E69" i="13"/>
  <c r="K67" i="13"/>
  <c r="T66" i="13"/>
  <c r="G66" i="13"/>
  <c r="N65" i="13"/>
  <c r="J64" i="13"/>
  <c r="S63" i="13"/>
  <c r="F63" i="13"/>
  <c r="M62" i="13"/>
  <c r="U76" i="13"/>
  <c r="O74" i="13"/>
  <c r="K73" i="13"/>
  <c r="G72" i="13"/>
  <c r="S69" i="13"/>
  <c r="M67" i="13"/>
  <c r="I66" i="13"/>
  <c r="E65" i="13"/>
  <c r="T63" i="13"/>
  <c r="N62" i="13"/>
  <c r="O61" i="13"/>
  <c r="E61" i="13"/>
  <c r="K60" i="13"/>
  <c r="T59" i="13"/>
  <c r="G59" i="13"/>
  <c r="N58" i="13"/>
  <c r="J57" i="13"/>
  <c r="S56" i="13"/>
  <c r="F56" i="13"/>
  <c r="M55" i="13"/>
  <c r="G55" i="13"/>
  <c r="U54" i="13"/>
  <c r="N54" i="13"/>
  <c r="I54" i="13"/>
  <c r="O53" i="13"/>
  <c r="J53" i="13"/>
  <c r="E53" i="13"/>
  <c r="K76" i="13"/>
  <c r="T74" i="13"/>
  <c r="G74" i="13"/>
  <c r="N73" i="13"/>
  <c r="J72" i="13"/>
  <c r="S71" i="13"/>
  <c r="F71" i="13"/>
  <c r="M70" i="13"/>
  <c r="U69" i="13"/>
  <c r="I69" i="13"/>
  <c r="O67" i="13"/>
  <c r="E67" i="13"/>
  <c r="K66" i="13"/>
  <c r="T65" i="13"/>
  <c r="G65" i="13"/>
  <c r="N64" i="13"/>
  <c r="J63" i="13"/>
  <c r="S62" i="13"/>
  <c r="F62" i="13"/>
  <c r="S61" i="13"/>
  <c r="K61" i="13"/>
  <c r="F61" i="13"/>
  <c r="T60" i="13"/>
  <c r="M60" i="13"/>
  <c r="G60" i="13"/>
  <c r="U59" i="13"/>
  <c r="N59" i="13"/>
  <c r="I59" i="13"/>
  <c r="O58" i="13"/>
  <c r="J58" i="13"/>
  <c r="E58" i="13"/>
  <c r="N57" i="13"/>
  <c r="J56" i="13"/>
  <c r="S55" i="13"/>
  <c r="F55" i="13"/>
  <c r="M54" i="13"/>
  <c r="U53" i="13"/>
  <c r="I53" i="13"/>
  <c r="K57" i="13"/>
  <c r="T56" i="13"/>
  <c r="G56" i="13"/>
  <c r="N55" i="13"/>
  <c r="J54" i="13"/>
  <c r="S53" i="13"/>
  <c r="F53" i="13"/>
  <c r="M76" i="13"/>
  <c r="U74" i="13"/>
  <c r="I74" i="13"/>
  <c r="O73" i="13"/>
  <c r="E73" i="13"/>
  <c r="K72" i="13"/>
  <c r="T71" i="13"/>
  <c r="G71" i="13"/>
  <c r="N70" i="13"/>
  <c r="J69" i="13"/>
  <c r="S67" i="13"/>
  <c r="F67" i="13"/>
  <c r="M66" i="13"/>
  <c r="U65" i="13"/>
  <c r="I65" i="13"/>
  <c r="O64" i="13"/>
  <c r="E64" i="13"/>
  <c r="K63" i="13"/>
  <c r="T62" i="13"/>
  <c r="G62" i="13"/>
  <c r="I76" i="13"/>
  <c r="E74" i="13"/>
  <c r="T72" i="13"/>
  <c r="N71" i="13"/>
  <c r="J70" i="13"/>
  <c r="F69" i="13"/>
  <c r="U66" i="13"/>
  <c r="O65" i="13"/>
  <c r="K64" i="13"/>
  <c r="G63" i="13"/>
  <c r="J61" i="13"/>
  <c r="S60" i="13"/>
  <c r="F60" i="13"/>
  <c r="M59" i="13"/>
  <c r="U58" i="13"/>
  <c r="I58" i="13"/>
  <c r="O57" i="13"/>
  <c r="E57" i="13"/>
  <c r="K56" i="13"/>
  <c r="T55" i="13"/>
  <c r="J55" i="13"/>
  <c r="E55" i="13"/>
  <c r="S54" i="13"/>
  <c r="K54" i="13"/>
  <c r="F54" i="13"/>
  <c r="T53" i="13"/>
  <c r="M53" i="13"/>
  <c r="G53" i="13"/>
  <c r="S76" i="13"/>
  <c r="F76" i="13"/>
  <c r="F82" i="13" s="1"/>
  <c r="M74" i="13"/>
  <c r="U73" i="13"/>
  <c r="I73" i="13"/>
  <c r="O72" i="13"/>
  <c r="E72" i="13"/>
  <c r="K71" i="13"/>
  <c r="T70" i="13"/>
  <c r="G70" i="13"/>
  <c r="N69" i="13"/>
  <c r="J67" i="13"/>
  <c r="S66" i="13"/>
  <c r="F66" i="13"/>
  <c r="M65" i="13"/>
  <c r="U64" i="13"/>
  <c r="I64" i="13"/>
  <c r="O63" i="13"/>
  <c r="E63" i="13"/>
  <c r="U61" i="13"/>
  <c r="I61" i="13"/>
  <c r="O60" i="13"/>
  <c r="E60" i="13"/>
  <c r="K59" i="13"/>
  <c r="T58" i="13"/>
  <c r="G58" i="13"/>
  <c r="I57" i="13"/>
  <c r="E56" i="13"/>
  <c r="T54" i="13"/>
  <c r="N53" i="13"/>
  <c r="F57" i="13"/>
  <c r="U55" i="13"/>
  <c r="O54" i="13"/>
  <c r="K53" i="13"/>
  <c r="K62" i="13"/>
  <c r="N61" i="13"/>
  <c r="J60" i="13"/>
  <c r="S59" i="13"/>
  <c r="F59" i="13"/>
  <c r="M58" i="13"/>
  <c r="U57" i="13"/>
  <c r="O56" i="13"/>
  <c r="K55" i="13"/>
  <c r="G54" i="13"/>
  <c r="S57" i="13"/>
  <c r="M56" i="13"/>
  <c r="I55" i="13"/>
  <c r="E54" i="13"/>
  <c r="U40" i="13"/>
  <c r="S40" i="13"/>
  <c r="N40" i="13"/>
  <c r="K40" i="13"/>
  <c r="I40" i="13"/>
  <c r="F40" i="13"/>
  <c r="T35" i="13"/>
  <c r="O35" i="13"/>
  <c r="M35" i="13"/>
  <c r="J35" i="13"/>
  <c r="G35" i="13"/>
  <c r="E35" i="13"/>
  <c r="U33" i="13"/>
  <c r="S33" i="13"/>
  <c r="N33" i="13"/>
  <c r="K33" i="13"/>
  <c r="I33" i="13"/>
  <c r="F33" i="13"/>
  <c r="T32" i="13"/>
  <c r="O32" i="13"/>
  <c r="M32" i="13"/>
  <c r="J32" i="13"/>
  <c r="G32" i="13"/>
  <c r="E32" i="13"/>
  <c r="U31" i="13"/>
  <c r="S31" i="13"/>
  <c r="N31" i="13"/>
  <c r="K31" i="13"/>
  <c r="I31" i="13"/>
  <c r="F31" i="13"/>
  <c r="T30" i="13"/>
  <c r="O30" i="13"/>
  <c r="M30" i="13"/>
  <c r="J30" i="13"/>
  <c r="G30" i="13"/>
  <c r="E30" i="13"/>
  <c r="U29" i="13"/>
  <c r="S29" i="13"/>
  <c r="N29" i="13"/>
  <c r="K29" i="13"/>
  <c r="I29" i="13"/>
  <c r="F29" i="13"/>
  <c r="T28" i="13"/>
  <c r="O28" i="13"/>
  <c r="M28" i="13"/>
  <c r="J28" i="13"/>
  <c r="G28" i="13"/>
  <c r="E28" i="13"/>
  <c r="U26" i="13"/>
  <c r="S26" i="13"/>
  <c r="N26" i="13"/>
  <c r="K26" i="13"/>
  <c r="I26" i="13"/>
  <c r="F26" i="13"/>
  <c r="T25" i="13"/>
  <c r="O25" i="13"/>
  <c r="M25" i="13"/>
  <c r="J25" i="13"/>
  <c r="G25" i="13"/>
  <c r="E25" i="13"/>
  <c r="U24" i="13"/>
  <c r="S24" i="13"/>
  <c r="N24" i="13"/>
  <c r="K24" i="13"/>
  <c r="I24" i="13"/>
  <c r="F24" i="13"/>
  <c r="T23" i="13"/>
  <c r="O23" i="13"/>
  <c r="M23" i="13"/>
  <c r="J23" i="13"/>
  <c r="G23" i="13"/>
  <c r="E23" i="13"/>
  <c r="U22" i="13"/>
  <c r="S22" i="13"/>
  <c r="N22" i="13"/>
  <c r="K22" i="13"/>
  <c r="I22" i="13"/>
  <c r="F22" i="13"/>
  <c r="O40" i="13"/>
  <c r="J40" i="13"/>
  <c r="E40" i="13"/>
  <c r="S35" i="13"/>
  <c r="K35" i="13"/>
  <c r="F35" i="13"/>
  <c r="T33" i="13"/>
  <c r="M33" i="13"/>
  <c r="G33" i="13"/>
  <c r="U32" i="13"/>
  <c r="N32" i="13"/>
  <c r="I32" i="13"/>
  <c r="O31" i="13"/>
  <c r="J31" i="13"/>
  <c r="E31" i="13"/>
  <c r="S30" i="13"/>
  <c r="K30" i="13"/>
  <c r="F30" i="13"/>
  <c r="T29" i="13"/>
  <c r="M29" i="13"/>
  <c r="G29" i="13"/>
  <c r="U28" i="13"/>
  <c r="N28" i="13"/>
  <c r="I28" i="13"/>
  <c r="O26" i="13"/>
  <c r="J26" i="13"/>
  <c r="E26" i="13"/>
  <c r="S25" i="13"/>
  <c r="K25" i="13"/>
  <c r="F25" i="13"/>
  <c r="T24" i="13"/>
  <c r="M24" i="13"/>
  <c r="G24" i="13"/>
  <c r="U23" i="13"/>
  <c r="N23" i="13"/>
  <c r="I23" i="13"/>
  <c r="O22" i="13"/>
  <c r="J22" i="13"/>
  <c r="E22" i="13"/>
  <c r="T21" i="13"/>
  <c r="O21" i="13"/>
  <c r="M21" i="13"/>
  <c r="J21" i="13"/>
  <c r="G21" i="13"/>
  <c r="E21" i="13"/>
  <c r="U20" i="13"/>
  <c r="S20" i="13"/>
  <c r="N20" i="13"/>
  <c r="K20" i="13"/>
  <c r="I20" i="13"/>
  <c r="F20" i="13"/>
  <c r="T19" i="13"/>
  <c r="O19" i="13"/>
  <c r="M19" i="13"/>
  <c r="J19" i="13"/>
  <c r="G19" i="13"/>
  <c r="E19" i="13"/>
  <c r="U18" i="13"/>
  <c r="S18" i="13"/>
  <c r="N18" i="13"/>
  <c r="K18" i="13"/>
  <c r="I18" i="13"/>
  <c r="F18" i="13"/>
  <c r="O17" i="13"/>
  <c r="M17" i="13"/>
  <c r="J17" i="13"/>
  <c r="G17" i="13"/>
  <c r="E17" i="13"/>
  <c r="U16" i="13"/>
  <c r="S16" i="13"/>
  <c r="N16" i="13"/>
  <c r="K16" i="13"/>
  <c r="I16" i="13"/>
  <c r="F16" i="13"/>
  <c r="T15" i="13"/>
  <c r="O15" i="13"/>
  <c r="M15" i="13"/>
  <c r="M40" i="13"/>
  <c r="U35" i="13"/>
  <c r="I35" i="13"/>
  <c r="O33" i="13"/>
  <c r="E33" i="13"/>
  <c r="K32" i="13"/>
  <c r="T31" i="13"/>
  <c r="G31" i="13"/>
  <c r="N30" i="13"/>
  <c r="J29" i="13"/>
  <c r="S28" i="13"/>
  <c r="F28" i="13"/>
  <c r="M26" i="13"/>
  <c r="U25" i="13"/>
  <c r="I25" i="13"/>
  <c r="O24" i="13"/>
  <c r="E24" i="13"/>
  <c r="K23" i="13"/>
  <c r="T22" i="13"/>
  <c r="G22" i="13"/>
  <c r="S21" i="13"/>
  <c r="K21" i="13"/>
  <c r="F21" i="13"/>
  <c r="T20" i="13"/>
  <c r="M20" i="13"/>
  <c r="G20" i="13"/>
  <c r="U19" i="13"/>
  <c r="N19" i="13"/>
  <c r="I19" i="13"/>
  <c r="O18" i="13"/>
  <c r="J18" i="13"/>
  <c r="E18" i="13"/>
  <c r="S17" i="13"/>
  <c r="K17" i="13"/>
  <c r="F17" i="13"/>
  <c r="T16" i="13"/>
  <c r="M16" i="13"/>
  <c r="G16" i="13"/>
  <c r="U15" i="13"/>
  <c r="N15" i="13"/>
  <c r="J15" i="13"/>
  <c r="G15" i="13"/>
  <c r="U14" i="13"/>
  <c r="S14" i="13"/>
  <c r="N14" i="13"/>
  <c r="K14" i="13"/>
  <c r="I14" i="13"/>
  <c r="F14" i="13"/>
  <c r="T13" i="13"/>
  <c r="O13" i="13"/>
  <c r="M13" i="13"/>
  <c r="J13" i="13"/>
  <c r="G13" i="13"/>
  <c r="E13" i="13"/>
  <c r="T40" i="13"/>
  <c r="G40" i="13"/>
  <c r="N35" i="13"/>
  <c r="J33" i="13"/>
  <c r="S32" i="13"/>
  <c r="F32" i="13"/>
  <c r="M31" i="13"/>
  <c r="U30" i="13"/>
  <c r="I30" i="13"/>
  <c r="O29" i="13"/>
  <c r="E29" i="13"/>
  <c r="K28" i="13"/>
  <c r="T26" i="13"/>
  <c r="G26" i="13"/>
  <c r="N25" i="13"/>
  <c r="J24" i="13"/>
  <c r="S23" i="13"/>
  <c r="F23" i="13"/>
  <c r="M22" i="13"/>
  <c r="U21" i="13"/>
  <c r="N21" i="13"/>
  <c r="I21" i="13"/>
  <c r="O20" i="13"/>
  <c r="J20" i="13"/>
  <c r="E20" i="13"/>
  <c r="S19" i="13"/>
  <c r="K19" i="13"/>
  <c r="F19" i="13"/>
  <c r="T18" i="13"/>
  <c r="M18" i="13"/>
  <c r="G18" i="13"/>
  <c r="U17" i="13"/>
  <c r="N17" i="13"/>
  <c r="I17" i="13"/>
  <c r="O16" i="13"/>
  <c r="J16" i="13"/>
  <c r="E16" i="13"/>
  <c r="S15" i="13"/>
  <c r="K15" i="13"/>
  <c r="I15" i="13"/>
  <c r="F15" i="13"/>
  <c r="T14" i="13"/>
  <c r="O14" i="13"/>
  <c r="M14" i="13"/>
  <c r="J14" i="13"/>
  <c r="G14" i="13"/>
  <c r="E14" i="13"/>
  <c r="U13" i="13"/>
  <c r="S13" i="13"/>
  <c r="N13" i="13"/>
  <c r="K13" i="13"/>
  <c r="I13" i="13"/>
  <c r="F13" i="13"/>
  <c r="E12" i="13"/>
  <c r="G12" i="13"/>
  <c r="J12" i="13"/>
  <c r="M12" i="13"/>
  <c r="O12" i="13"/>
  <c r="T12" i="13"/>
  <c r="F12" i="13"/>
  <c r="I12" i="13"/>
  <c r="K12" i="13"/>
  <c r="N12" i="13"/>
  <c r="S12" i="13"/>
  <c r="U12" i="13"/>
  <c r="U119" i="17"/>
  <c r="V119" i="17"/>
  <c r="U120" i="17"/>
  <c r="V120" i="17"/>
  <c r="U121" i="17"/>
  <c r="V121" i="17"/>
  <c r="U122" i="17"/>
  <c r="V122" i="17"/>
  <c r="U123" i="17"/>
  <c r="V123" i="17"/>
  <c r="U124" i="17"/>
  <c r="V124" i="17"/>
  <c r="U125" i="17"/>
  <c r="V125" i="17"/>
  <c r="U126" i="17"/>
  <c r="V126" i="17"/>
  <c r="U127" i="17"/>
  <c r="V127" i="17"/>
  <c r="U128" i="17"/>
  <c r="V128" i="17"/>
  <c r="U129" i="17"/>
  <c r="V129" i="17"/>
  <c r="H38" i="14" l="1"/>
  <c r="H4" i="14"/>
  <c r="E41" i="13"/>
  <c r="D40" i="13"/>
  <c r="I109" i="13"/>
  <c r="U109" i="13"/>
  <c r="U27" i="13"/>
  <c r="N27" i="13"/>
  <c r="I27" i="13"/>
  <c r="T27" i="13"/>
  <c r="M27" i="13"/>
  <c r="G27" i="13"/>
  <c r="D14" i="13"/>
  <c r="D16" i="13"/>
  <c r="D20" i="13"/>
  <c r="D29" i="13"/>
  <c r="K68" i="13"/>
  <c r="T68" i="13"/>
  <c r="N68" i="13"/>
  <c r="G68" i="13"/>
  <c r="F68" i="13"/>
  <c r="U68" i="13"/>
  <c r="J68" i="13"/>
  <c r="F109" i="13"/>
  <c r="S109" i="13"/>
  <c r="E109" i="13"/>
  <c r="J109" i="13"/>
  <c r="O109" i="13"/>
  <c r="M68" i="13"/>
  <c r="S68" i="13"/>
  <c r="I68" i="13"/>
  <c r="E68" i="13"/>
  <c r="O68" i="13"/>
  <c r="N109" i="13"/>
  <c r="K109" i="13"/>
  <c r="G109" i="13"/>
  <c r="M109" i="13"/>
  <c r="T109" i="13"/>
  <c r="V109" i="13"/>
  <c r="V68" i="13"/>
  <c r="J41" i="13"/>
  <c r="E75" i="13"/>
  <c r="V27" i="13"/>
  <c r="S27" i="13"/>
  <c r="K27" i="13"/>
  <c r="F27" i="13"/>
  <c r="O27" i="13"/>
  <c r="J27" i="13"/>
  <c r="E27" i="13"/>
  <c r="D18" i="13"/>
  <c r="D19" i="13"/>
  <c r="D21" i="13"/>
  <c r="D22" i="13"/>
  <c r="D26" i="13"/>
  <c r="D31" i="13"/>
  <c r="D12" i="13"/>
  <c r="D13" i="13"/>
  <c r="D15" i="13"/>
  <c r="D24" i="13"/>
  <c r="D33" i="13"/>
  <c r="D17" i="13"/>
  <c r="D23" i="13"/>
  <c r="D25" i="13"/>
  <c r="D28" i="13"/>
  <c r="D30" i="13"/>
  <c r="D32" i="13"/>
  <c r="D35" i="13"/>
  <c r="D94" i="13"/>
  <c r="D54" i="13"/>
  <c r="D57" i="13"/>
  <c r="D74" i="13"/>
  <c r="D101" i="13"/>
  <c r="D103" i="13"/>
  <c r="D104" i="13"/>
  <c r="D108" i="13"/>
  <c r="D113" i="13"/>
  <c r="D60" i="13"/>
  <c r="D63" i="13"/>
  <c r="D72" i="13"/>
  <c r="D64" i="13"/>
  <c r="D73" i="13"/>
  <c r="D67" i="13"/>
  <c r="D53" i="13"/>
  <c r="D59" i="13"/>
  <c r="D62" i="13"/>
  <c r="D66" i="13"/>
  <c r="D71" i="13"/>
  <c r="D76" i="13"/>
  <c r="D97" i="13"/>
  <c r="D95" i="13"/>
  <c r="D99" i="13"/>
  <c r="D56" i="13"/>
  <c r="D55" i="13"/>
  <c r="D58" i="13"/>
  <c r="D61" i="13"/>
  <c r="D65" i="13"/>
  <c r="D69" i="13"/>
  <c r="D70" i="13"/>
  <c r="D96" i="13"/>
  <c r="D98" i="13"/>
  <c r="D100" i="13"/>
  <c r="D102" i="13"/>
  <c r="D106" i="13"/>
  <c r="D111" i="13"/>
  <c r="D115" i="13"/>
  <c r="D105" i="13"/>
  <c r="D107" i="13"/>
  <c r="D110" i="13"/>
  <c r="D112" i="13"/>
  <c r="D114" i="13"/>
  <c r="D117"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2" i="13"/>
  <c r="E6" i="13"/>
  <c r="F86" i="14"/>
  <c r="V86" i="14"/>
  <c r="O86" i="14"/>
  <c r="U86" i="14"/>
  <c r="T86" i="14"/>
  <c r="M86" i="14"/>
  <c r="F59" i="14" l="1"/>
  <c r="N59" i="14"/>
  <c r="U59" i="14"/>
  <c r="M59" i="14"/>
  <c r="O59" i="14"/>
  <c r="T59"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S108" i="14" l="1"/>
  <c r="S107" i="14"/>
  <c r="S105" i="14"/>
  <c r="S104" i="14"/>
  <c r="S103" i="14"/>
  <c r="S102" i="14"/>
  <c r="S101" i="14"/>
  <c r="S99" i="14"/>
  <c r="S98" i="14"/>
  <c r="S97" i="14"/>
  <c r="S96" i="14"/>
  <c r="S95" i="14"/>
  <c r="S94" i="14"/>
  <c r="S93" i="14"/>
  <c r="S88" i="14"/>
  <c r="S87" i="14"/>
  <c r="S85" i="14"/>
  <c r="S84" i="14"/>
  <c r="S83" i="14"/>
  <c r="S82" i="14"/>
  <c r="S81" i="14"/>
  <c r="S79" i="14"/>
  <c r="S78" i="14"/>
  <c r="S77" i="14"/>
  <c r="S76" i="14"/>
  <c r="S75" i="14"/>
  <c r="S74" i="14"/>
  <c r="S73" i="14"/>
  <c r="K108" i="14"/>
  <c r="K107" i="14"/>
  <c r="K105" i="14"/>
  <c r="K104" i="14"/>
  <c r="K103" i="14"/>
  <c r="K102" i="14"/>
  <c r="K101" i="14"/>
  <c r="K99" i="14"/>
  <c r="K98" i="14"/>
  <c r="K97" i="14"/>
  <c r="K96" i="14"/>
  <c r="K95" i="14"/>
  <c r="K94" i="14"/>
  <c r="K93" i="14"/>
  <c r="K88" i="14"/>
  <c r="K87" i="14"/>
  <c r="K85" i="14"/>
  <c r="K84" i="14"/>
  <c r="K83" i="14"/>
  <c r="K82" i="14"/>
  <c r="K81" i="14"/>
  <c r="K79" i="14"/>
  <c r="K78" i="14"/>
  <c r="K77" i="14"/>
  <c r="K76" i="14"/>
  <c r="K75" i="14"/>
  <c r="K74" i="14"/>
  <c r="K73" i="14"/>
  <c r="J108" i="14"/>
  <c r="J107" i="14"/>
  <c r="J105" i="14"/>
  <c r="J104" i="14"/>
  <c r="J103" i="14"/>
  <c r="J102" i="14"/>
  <c r="J101" i="14"/>
  <c r="J99" i="14"/>
  <c r="J98" i="14"/>
  <c r="J97" i="14"/>
  <c r="J96" i="14"/>
  <c r="J95" i="14"/>
  <c r="J94" i="14"/>
  <c r="J93" i="14"/>
  <c r="J88" i="14"/>
  <c r="J87" i="14"/>
  <c r="J85" i="14"/>
  <c r="J84" i="14"/>
  <c r="J83" i="14"/>
  <c r="J82" i="14"/>
  <c r="J81" i="14"/>
  <c r="J79" i="14"/>
  <c r="J78" i="14"/>
  <c r="J77" i="14"/>
  <c r="J76" i="14"/>
  <c r="J75" i="14"/>
  <c r="J74" i="14"/>
  <c r="J73" i="14"/>
  <c r="I108" i="14"/>
  <c r="I107" i="14"/>
  <c r="I105" i="14"/>
  <c r="I104" i="14"/>
  <c r="I103" i="14"/>
  <c r="I102" i="14"/>
  <c r="I101" i="14"/>
  <c r="I99" i="14"/>
  <c r="I98" i="14"/>
  <c r="I97" i="14"/>
  <c r="I96" i="14"/>
  <c r="I95" i="14"/>
  <c r="I94" i="14"/>
  <c r="I93" i="14"/>
  <c r="I88" i="14"/>
  <c r="I87" i="14"/>
  <c r="I85" i="14"/>
  <c r="I84" i="14"/>
  <c r="I83" i="14"/>
  <c r="I82" i="14"/>
  <c r="I81" i="14"/>
  <c r="I79" i="14"/>
  <c r="I78" i="14"/>
  <c r="I77" i="14"/>
  <c r="I76" i="14"/>
  <c r="I75" i="14"/>
  <c r="I74" i="14"/>
  <c r="I73" i="14"/>
  <c r="G108" i="14"/>
  <c r="G107" i="14"/>
  <c r="G105" i="14"/>
  <c r="G104" i="14"/>
  <c r="G103" i="14"/>
  <c r="G102" i="14"/>
  <c r="G101" i="14"/>
  <c r="G99" i="14"/>
  <c r="G98" i="14"/>
  <c r="G97" i="14"/>
  <c r="G96" i="14"/>
  <c r="G95" i="14"/>
  <c r="G94" i="14"/>
  <c r="G93" i="14"/>
  <c r="G88" i="14"/>
  <c r="G87" i="14"/>
  <c r="G85" i="14"/>
  <c r="G84" i="14"/>
  <c r="G83" i="14"/>
  <c r="G82" i="14"/>
  <c r="G81" i="14"/>
  <c r="G79" i="14"/>
  <c r="G78" i="14"/>
  <c r="G77" i="14"/>
  <c r="G76" i="14"/>
  <c r="G75" i="14"/>
  <c r="G74" i="14"/>
  <c r="G73" i="14"/>
  <c r="S67" i="14"/>
  <c r="S62" i="14"/>
  <c r="S56" i="14"/>
  <c r="S50" i="14"/>
  <c r="S45" i="14"/>
  <c r="S40" i="14"/>
  <c r="S68" i="14"/>
  <c r="S64" i="14"/>
  <c r="S57" i="14"/>
  <c r="S60" i="14"/>
  <c r="S48" i="14"/>
  <c r="S46" i="14"/>
  <c r="S36" i="14"/>
  <c r="S31" i="14"/>
  <c r="S26" i="14"/>
  <c r="S21" i="14"/>
  <c r="S16" i="14"/>
  <c r="S11" i="14"/>
  <c r="S6" i="14"/>
  <c r="S66" i="14"/>
  <c r="S55" i="14"/>
  <c r="S52" i="14"/>
  <c r="S43" i="14"/>
  <c r="S32" i="14"/>
  <c r="S27" i="14"/>
  <c r="S22" i="14"/>
  <c r="S17" i="14"/>
  <c r="S12" i="14"/>
  <c r="S7" i="14"/>
  <c r="S65" i="14"/>
  <c r="S47" i="14"/>
  <c r="S37" i="14"/>
  <c r="S34" i="14"/>
  <c r="S28" i="14"/>
  <c r="S24" i="14"/>
  <c r="S18" i="14"/>
  <c r="S13" i="14"/>
  <c r="S8" i="14"/>
  <c r="S61" i="14"/>
  <c r="S54" i="14"/>
  <c r="S44" i="14"/>
  <c r="S41" i="14"/>
  <c r="S35" i="14"/>
  <c r="S29" i="14"/>
  <c r="S25" i="14"/>
  <c r="S20" i="14"/>
  <c r="S14" i="14"/>
  <c r="S10" i="14"/>
  <c r="K67" i="14"/>
  <c r="K68" i="14"/>
  <c r="K64" i="14"/>
  <c r="K57" i="14"/>
  <c r="K52" i="14"/>
  <c r="K46" i="14"/>
  <c r="K41" i="14"/>
  <c r="K65" i="14"/>
  <c r="K60" i="14"/>
  <c r="K66" i="14"/>
  <c r="K55" i="14"/>
  <c r="K45" i="14"/>
  <c r="K43" i="14"/>
  <c r="K32" i="14"/>
  <c r="K27" i="14"/>
  <c r="K22" i="14"/>
  <c r="K17" i="14"/>
  <c r="K12" i="14"/>
  <c r="K7" i="14"/>
  <c r="K13" i="14"/>
  <c r="K8" i="14"/>
  <c r="K62" i="14"/>
  <c r="K50" i="14"/>
  <c r="K47" i="14"/>
  <c r="K37" i="14"/>
  <c r="K34" i="14"/>
  <c r="K28" i="14"/>
  <c r="K24" i="14"/>
  <c r="K18" i="14"/>
  <c r="K61" i="14"/>
  <c r="K54" i="14"/>
  <c r="K44" i="14"/>
  <c r="K35" i="14"/>
  <c r="K29" i="14"/>
  <c r="K25" i="14"/>
  <c r="K20" i="14"/>
  <c r="K14" i="14"/>
  <c r="K10" i="14"/>
  <c r="K11" i="14"/>
  <c r="K6" i="14"/>
  <c r="K56" i="14"/>
  <c r="K48" i="14"/>
  <c r="K40" i="14"/>
  <c r="K36" i="14"/>
  <c r="K31" i="14"/>
  <c r="K26" i="14"/>
  <c r="K21" i="14"/>
  <c r="K16" i="14"/>
  <c r="J67" i="14"/>
  <c r="J62" i="14"/>
  <c r="J56" i="14"/>
  <c r="J50" i="14"/>
  <c r="J45" i="14"/>
  <c r="J40" i="14"/>
  <c r="J68" i="14"/>
  <c r="J64" i="14"/>
  <c r="J57" i="14"/>
  <c r="J52" i="14"/>
  <c r="J48" i="14"/>
  <c r="J36" i="14"/>
  <c r="J31" i="14"/>
  <c r="J26" i="14"/>
  <c r="J21" i="14"/>
  <c r="J16" i="14"/>
  <c r="J11" i="14"/>
  <c r="J6" i="14"/>
  <c r="J12" i="14"/>
  <c r="J7" i="14"/>
  <c r="J66" i="14"/>
  <c r="J65" i="14"/>
  <c r="J55" i="14"/>
  <c r="J43" i="14"/>
  <c r="J32" i="14"/>
  <c r="J27" i="14"/>
  <c r="J22" i="14"/>
  <c r="J17" i="14"/>
  <c r="J47" i="14"/>
  <c r="J41" i="14"/>
  <c r="J37" i="14"/>
  <c r="J34" i="14"/>
  <c r="J28" i="14"/>
  <c r="J24" i="14"/>
  <c r="J18" i="14"/>
  <c r="J13" i="14"/>
  <c r="J8" i="14"/>
  <c r="J10" i="14"/>
  <c r="J61" i="14"/>
  <c r="J60" i="14"/>
  <c r="J54" i="14"/>
  <c r="J46" i="14"/>
  <c r="J44" i="14"/>
  <c r="J35" i="14"/>
  <c r="J29" i="14"/>
  <c r="J25" i="14"/>
  <c r="J20" i="14"/>
  <c r="J14" i="14"/>
  <c r="I66" i="14"/>
  <c r="I61" i="14"/>
  <c r="I55" i="14"/>
  <c r="I48" i="14"/>
  <c r="I44" i="14"/>
  <c r="I37" i="14"/>
  <c r="I67" i="14"/>
  <c r="I62" i="14"/>
  <c r="I56" i="14"/>
  <c r="I60" i="14"/>
  <c r="I54" i="14"/>
  <c r="I46" i="14"/>
  <c r="I40" i="14"/>
  <c r="I35" i="14"/>
  <c r="I29" i="14"/>
  <c r="I25" i="14"/>
  <c r="I20" i="14"/>
  <c r="I14" i="14"/>
  <c r="I10" i="14"/>
  <c r="I6" i="14"/>
  <c r="I68" i="14"/>
  <c r="I64" i="14"/>
  <c r="I52" i="14"/>
  <c r="I45" i="14"/>
  <c r="I36" i="14"/>
  <c r="I31" i="14"/>
  <c r="I26" i="14"/>
  <c r="I21" i="14"/>
  <c r="I16" i="14"/>
  <c r="I11" i="14"/>
  <c r="I65" i="14"/>
  <c r="I50" i="14"/>
  <c r="I43" i="14"/>
  <c r="I32" i="14"/>
  <c r="I27" i="14"/>
  <c r="I22" i="14"/>
  <c r="I17" i="14"/>
  <c r="I12" i="14"/>
  <c r="I7" i="14"/>
  <c r="I57" i="14"/>
  <c r="I47" i="14"/>
  <c r="I41" i="14"/>
  <c r="I34" i="14"/>
  <c r="I28" i="14"/>
  <c r="I24" i="14"/>
  <c r="I18" i="14"/>
  <c r="I13" i="14"/>
  <c r="I8" i="14"/>
  <c r="G68" i="14"/>
  <c r="G65" i="14"/>
  <c r="G60" i="14"/>
  <c r="G54" i="14"/>
  <c r="G47" i="14"/>
  <c r="G43" i="14"/>
  <c r="G66" i="14"/>
  <c r="G61" i="14"/>
  <c r="G67" i="14"/>
  <c r="G57" i="14"/>
  <c r="G56" i="14"/>
  <c r="G44" i="14"/>
  <c r="G41" i="14"/>
  <c r="G34" i="14"/>
  <c r="G28" i="14"/>
  <c r="G24" i="14"/>
  <c r="G18" i="14"/>
  <c r="G13" i="14"/>
  <c r="G8" i="14"/>
  <c r="G10" i="14"/>
  <c r="G48" i="14"/>
  <c r="G46" i="14"/>
  <c r="G40" i="14"/>
  <c r="G35" i="14"/>
  <c r="G29" i="14"/>
  <c r="G25" i="14"/>
  <c r="G20" i="14"/>
  <c r="G14" i="14"/>
  <c r="G64" i="14"/>
  <c r="G62" i="14"/>
  <c r="G55" i="14"/>
  <c r="G52" i="14"/>
  <c r="G45" i="14"/>
  <c r="G36" i="14"/>
  <c r="G31" i="14"/>
  <c r="G26" i="14"/>
  <c r="G21" i="14"/>
  <c r="G16" i="14"/>
  <c r="G11" i="14"/>
  <c r="G6" i="14"/>
  <c r="G12" i="14"/>
  <c r="G7" i="14"/>
  <c r="G50" i="14"/>
  <c r="G49" i="14" s="1"/>
  <c r="G37" i="14"/>
  <c r="G32" i="14"/>
  <c r="G27" i="14"/>
  <c r="G22" i="14"/>
  <c r="G17" i="14"/>
  <c r="E108" i="14"/>
  <c r="E103" i="14"/>
  <c r="E98" i="14"/>
  <c r="E94" i="14"/>
  <c r="E85" i="14"/>
  <c r="E81" i="14"/>
  <c r="E76" i="14"/>
  <c r="E107" i="14"/>
  <c r="E102" i="14"/>
  <c r="E97" i="14"/>
  <c r="E93" i="14"/>
  <c r="E84" i="14"/>
  <c r="E79" i="14"/>
  <c r="E75" i="14"/>
  <c r="E105" i="14"/>
  <c r="E101" i="14"/>
  <c r="E96" i="14"/>
  <c r="E88" i="14"/>
  <c r="E83" i="14"/>
  <c r="E78" i="14"/>
  <c r="E74" i="14"/>
  <c r="E104" i="14"/>
  <c r="E99" i="14"/>
  <c r="E95" i="14"/>
  <c r="E87" i="14"/>
  <c r="E82" i="14"/>
  <c r="E77" i="14"/>
  <c r="E73" i="14"/>
  <c r="E68" i="14"/>
  <c r="E67" i="14"/>
  <c r="E66" i="14"/>
  <c r="E65" i="14"/>
  <c r="E64" i="14"/>
  <c r="E62" i="14"/>
  <c r="E61" i="14"/>
  <c r="E60" i="14"/>
  <c r="E57" i="14"/>
  <c r="E56" i="14"/>
  <c r="E55" i="14"/>
  <c r="E54" i="14"/>
  <c r="E52" i="14"/>
  <c r="E50" i="14"/>
  <c r="E49" i="14" s="1"/>
  <c r="E48" i="14"/>
  <c r="E47" i="14"/>
  <c r="E46" i="14"/>
  <c r="E45" i="14"/>
  <c r="E44" i="14"/>
  <c r="E43" i="14"/>
  <c r="E41" i="14"/>
  <c r="E40" i="14"/>
  <c r="E37" i="14"/>
  <c r="E36" i="14"/>
  <c r="E35" i="14"/>
  <c r="E34" i="14"/>
  <c r="E32" i="14"/>
  <c r="E31" i="14"/>
  <c r="E29" i="14"/>
  <c r="E28" i="14"/>
  <c r="E27" i="14"/>
  <c r="E26" i="14"/>
  <c r="E25" i="14"/>
  <c r="E24" i="14"/>
  <c r="E22" i="14"/>
  <c r="E21" i="14"/>
  <c r="E20" i="14"/>
  <c r="E18" i="14"/>
  <c r="E17" i="14"/>
  <c r="E16" i="14"/>
  <c r="E14" i="14"/>
  <c r="E13" i="14"/>
  <c r="E12" i="14"/>
  <c r="E11" i="14"/>
  <c r="E10" i="14"/>
  <c r="E8" i="14"/>
  <c r="E7" i="14"/>
  <c r="E6" i="14"/>
  <c r="W108" i="14"/>
  <c r="W105" i="14"/>
  <c r="W103" i="14"/>
  <c r="W101" i="14"/>
  <c r="W98" i="14"/>
  <c r="W96" i="14"/>
  <c r="W94" i="14"/>
  <c r="W88" i="14"/>
  <c r="W85" i="14"/>
  <c r="W83" i="14"/>
  <c r="W81" i="14"/>
  <c r="W78" i="14"/>
  <c r="W76" i="14"/>
  <c r="W74" i="14"/>
  <c r="W107" i="14"/>
  <c r="W104" i="14"/>
  <c r="W102" i="14"/>
  <c r="W99" i="14"/>
  <c r="W97" i="14"/>
  <c r="W95" i="14"/>
  <c r="D95" i="14" s="1"/>
  <c r="W93" i="14"/>
  <c r="W87" i="14"/>
  <c r="W84" i="14"/>
  <c r="W82" i="14"/>
  <c r="W79" i="14"/>
  <c r="W77" i="14"/>
  <c r="W75" i="14"/>
  <c r="W73" i="14"/>
  <c r="W68" i="14"/>
  <c r="D68" i="14" s="1"/>
  <c r="W64" i="14"/>
  <c r="W57" i="14"/>
  <c r="W52" i="14"/>
  <c r="W51" i="14" s="1"/>
  <c r="W46" i="14"/>
  <c r="W41" i="14"/>
  <c r="W35" i="14"/>
  <c r="W29" i="14"/>
  <c r="D29" i="14" s="1"/>
  <c r="W25" i="14"/>
  <c r="W20" i="14"/>
  <c r="W14" i="14"/>
  <c r="W10" i="14"/>
  <c r="W6" i="14"/>
  <c r="W65" i="14"/>
  <c r="D65" i="14" s="1"/>
  <c r="W60" i="14"/>
  <c r="W54" i="14"/>
  <c r="D54" i="14" s="1"/>
  <c r="W47" i="14"/>
  <c r="W43" i="14"/>
  <c r="W36" i="14"/>
  <c r="W31" i="14"/>
  <c r="W26" i="14"/>
  <c r="W21" i="14"/>
  <c r="W16" i="14"/>
  <c r="W11" i="14"/>
  <c r="W66" i="14"/>
  <c r="W61" i="14"/>
  <c r="W55" i="14"/>
  <c r="D55" i="14" s="1"/>
  <c r="W48" i="14"/>
  <c r="W44" i="14"/>
  <c r="W37" i="14"/>
  <c r="W32" i="14"/>
  <c r="W27" i="14"/>
  <c r="W22" i="14"/>
  <c r="W17" i="14"/>
  <c r="W12" i="14"/>
  <c r="W7" i="14"/>
  <c r="W67" i="14"/>
  <c r="W62" i="14"/>
  <c r="D62" i="14" s="1"/>
  <c r="W56" i="14"/>
  <c r="W50" i="14"/>
  <c r="W49" i="14" s="1"/>
  <c r="W45" i="14"/>
  <c r="W40" i="14"/>
  <c r="W39" i="14" s="1"/>
  <c r="W34" i="14"/>
  <c r="W28" i="14"/>
  <c r="D28" i="14" s="1"/>
  <c r="W24" i="14"/>
  <c r="W18" i="14"/>
  <c r="D18" i="14" s="1"/>
  <c r="W13" i="14"/>
  <c r="W8" i="14"/>
  <c r="L86" i="14"/>
  <c r="L72" i="14"/>
  <c r="L51" i="14"/>
  <c r="N86" i="14"/>
  <c r="D83" i="14"/>
  <c r="D108" i="14"/>
  <c r="D85" i="14"/>
  <c r="D102" i="14" l="1"/>
  <c r="D103" i="14"/>
  <c r="D75" i="14"/>
  <c r="D20" i="14"/>
  <c r="G9" i="14"/>
  <c r="D41" i="14"/>
  <c r="D45" i="14"/>
  <c r="D56" i="14"/>
  <c r="D67" i="14"/>
  <c r="D32" i="14"/>
  <c r="D26" i="14"/>
  <c r="D36" i="14"/>
  <c r="D47" i="14"/>
  <c r="D60" i="14"/>
  <c r="D25" i="14"/>
  <c r="D35" i="14"/>
  <c r="D46" i="14"/>
  <c r="D57" i="14"/>
  <c r="D16" i="14"/>
  <c r="D21" i="14"/>
  <c r="D43" i="14"/>
  <c r="D6" i="14"/>
  <c r="W106" i="14"/>
  <c r="D48" i="14"/>
  <c r="D22" i="14"/>
  <c r="D66" i="14"/>
  <c r="D27" i="14"/>
  <c r="D31" i="14"/>
  <c r="E106" i="14"/>
  <c r="D17" i="14"/>
  <c r="D37" i="14"/>
  <c r="D61" i="14"/>
  <c r="G106" i="14"/>
  <c r="I106" i="14"/>
  <c r="J106" i="14"/>
  <c r="D44" i="14"/>
  <c r="I59" i="14"/>
  <c r="G92" i="14"/>
  <c r="I92" i="14"/>
  <c r="J92" i="14"/>
  <c r="K92" i="14"/>
  <c r="K106" i="14"/>
  <c r="J100" i="14"/>
  <c r="G100" i="14"/>
  <c r="I100" i="14"/>
  <c r="K100" i="14"/>
  <c r="S100" i="14"/>
  <c r="S92" i="14"/>
  <c r="J59" i="14"/>
  <c r="J63" i="14"/>
  <c r="G86" i="14"/>
  <c r="I86" i="14"/>
  <c r="K86" i="14"/>
  <c r="S86" i="14"/>
  <c r="G59" i="14"/>
  <c r="S59" i="14"/>
  <c r="S106" i="14"/>
  <c r="K59" i="14"/>
  <c r="E30" i="14"/>
  <c r="E42" i="14"/>
  <c r="E100" i="14"/>
  <c r="E92" i="14"/>
  <c r="E33" i="14"/>
  <c r="E39" i="14"/>
  <c r="D52" i="14"/>
  <c r="W23" i="14"/>
  <c r="W33" i="14"/>
  <c r="D24" i="14"/>
  <c r="W92" i="14"/>
  <c r="W30" i="14"/>
  <c r="W42" i="14"/>
  <c r="W53" i="14"/>
  <c r="W9" i="14"/>
  <c r="W19" i="14"/>
  <c r="W63" i="14"/>
  <c r="W100" i="14"/>
  <c r="W15" i="14"/>
  <c r="W59" i="14"/>
  <c r="W5" i="14"/>
  <c r="L23" i="14"/>
  <c r="L33" i="14"/>
  <c r="L39" i="14"/>
  <c r="D40" i="14"/>
  <c r="L49" i="14"/>
  <c r="D50" i="14"/>
  <c r="L63" i="14"/>
  <c r="D34" i="14"/>
  <c r="D93" i="14"/>
  <c r="D64" i="14"/>
  <c r="L19" i="14"/>
  <c r="L80" i="14"/>
  <c r="L71" i="14" s="1"/>
  <c r="L50" i="13" s="1"/>
  <c r="L51" i="13" s="1"/>
  <c r="L91" i="14"/>
  <c r="L91" i="13" s="1"/>
  <c r="L92"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W72" i="14"/>
  <c r="W80" i="14"/>
  <c r="W86" i="14"/>
  <c r="D14" i="14"/>
  <c r="D12" i="14"/>
  <c r="D10" i="14"/>
  <c r="D13" i="14"/>
  <c r="D11" i="14"/>
  <c r="D8" i="14"/>
  <c r="E59" i="14"/>
  <c r="J86" i="14"/>
  <c r="E72" i="14"/>
  <c r="E19" i="14"/>
  <c r="E86" i="14"/>
  <c r="E5" i="14"/>
  <c r="W4" i="14" l="1"/>
  <c r="W38" i="14"/>
  <c r="W58" i="14"/>
  <c r="D59" i="14"/>
  <c r="L4" i="14"/>
  <c r="L58" i="14"/>
  <c r="L38" i="14"/>
  <c r="D86" i="14"/>
  <c r="W91" i="14"/>
  <c r="W91" i="13" s="1"/>
  <c r="W92" i="13" s="1"/>
  <c r="W71" i="14"/>
  <c r="W50" i="13" s="1"/>
  <c r="W51" i="13" s="1"/>
  <c r="F63" i="14"/>
  <c r="G63" i="14"/>
  <c r="I63" i="14"/>
  <c r="K63" i="14"/>
  <c r="M63" i="14"/>
  <c r="N63" i="14"/>
  <c r="O63" i="14"/>
  <c r="S63" i="14"/>
  <c r="T63" i="14"/>
  <c r="U63" i="14"/>
  <c r="V63" i="14"/>
  <c r="E63" i="14"/>
  <c r="W3" i="14" l="1"/>
  <c r="W9" i="13" s="1"/>
  <c r="W10" i="13" s="1"/>
  <c r="L3" i="14"/>
  <c r="L9" i="13" s="1"/>
  <c r="L10" i="13" s="1"/>
  <c r="D106" i="14"/>
  <c r="E28" i="12" s="1"/>
  <c r="D63" i="14"/>
  <c r="E8" i="13"/>
  <c r="G58" i="14"/>
  <c r="J58" i="14"/>
  <c r="M58" i="14"/>
  <c r="O58" i="14"/>
  <c r="T58" i="14"/>
  <c r="V58" i="14"/>
  <c r="V80" i="14"/>
  <c r="U80" i="14"/>
  <c r="T80" i="14"/>
  <c r="S80" i="14"/>
  <c r="O80" i="14"/>
  <c r="N80" i="14"/>
  <c r="M80" i="14"/>
  <c r="K80" i="14"/>
  <c r="J80" i="14"/>
  <c r="I80" i="14"/>
  <c r="G80" i="14"/>
  <c r="F80" i="14"/>
  <c r="E80" i="14"/>
  <c r="V72" i="14"/>
  <c r="U72" i="14"/>
  <c r="T72" i="14"/>
  <c r="S72" i="14"/>
  <c r="O72" i="14"/>
  <c r="N72" i="14"/>
  <c r="M72" i="14"/>
  <c r="K72" i="14"/>
  <c r="J72" i="14"/>
  <c r="I72" i="14"/>
  <c r="G72" i="14"/>
  <c r="F72" i="14"/>
  <c r="V53" i="14"/>
  <c r="U53" i="14"/>
  <c r="T53" i="14"/>
  <c r="S53" i="14"/>
  <c r="O53" i="14"/>
  <c r="N53" i="14"/>
  <c r="M53" i="14"/>
  <c r="K53" i="14"/>
  <c r="J53" i="14"/>
  <c r="I53" i="14"/>
  <c r="G53" i="14"/>
  <c r="F53" i="14"/>
  <c r="E53" i="14"/>
  <c r="V51" i="14"/>
  <c r="U51" i="14"/>
  <c r="T51" i="14"/>
  <c r="S51" i="14"/>
  <c r="O51" i="14"/>
  <c r="N51" i="14"/>
  <c r="M51" i="14"/>
  <c r="K51" i="14"/>
  <c r="J51" i="14"/>
  <c r="I51" i="14"/>
  <c r="G51" i="14"/>
  <c r="F51" i="14"/>
  <c r="E51" i="14"/>
  <c r="V49" i="14"/>
  <c r="U49" i="14"/>
  <c r="T49" i="14"/>
  <c r="S49" i="14"/>
  <c r="O49" i="14"/>
  <c r="N49" i="14"/>
  <c r="M49" i="14"/>
  <c r="K49" i="14"/>
  <c r="J49" i="14"/>
  <c r="I49" i="14"/>
  <c r="V42" i="14"/>
  <c r="U42" i="14"/>
  <c r="T42" i="14"/>
  <c r="S42" i="14"/>
  <c r="O42" i="14"/>
  <c r="N42" i="14"/>
  <c r="M42" i="14"/>
  <c r="K42" i="14"/>
  <c r="J42" i="14"/>
  <c r="I42" i="14"/>
  <c r="G42" i="14"/>
  <c r="F42" i="14"/>
  <c r="V39" i="14"/>
  <c r="U39" i="14"/>
  <c r="T39" i="14"/>
  <c r="S39" i="14"/>
  <c r="O39" i="14"/>
  <c r="N39" i="14"/>
  <c r="M39" i="14"/>
  <c r="K39" i="14"/>
  <c r="J39" i="14"/>
  <c r="I39" i="14"/>
  <c r="G39" i="14"/>
  <c r="F39" i="14"/>
  <c r="V33" i="14"/>
  <c r="U33" i="14"/>
  <c r="T33" i="14"/>
  <c r="S33" i="14"/>
  <c r="O33" i="14"/>
  <c r="N33" i="14"/>
  <c r="M33" i="14"/>
  <c r="K33" i="14"/>
  <c r="J33" i="14"/>
  <c r="I33" i="14"/>
  <c r="G33" i="14"/>
  <c r="F33" i="14"/>
  <c r="V30" i="14"/>
  <c r="U30" i="14"/>
  <c r="T30" i="14"/>
  <c r="S30" i="14"/>
  <c r="O30" i="14"/>
  <c r="N30" i="14"/>
  <c r="M30" i="14"/>
  <c r="K30" i="14"/>
  <c r="J30" i="14"/>
  <c r="I30" i="14"/>
  <c r="G30" i="14"/>
  <c r="F30" i="14"/>
  <c r="V23" i="14"/>
  <c r="U23" i="14"/>
  <c r="T23" i="14"/>
  <c r="S23" i="14"/>
  <c r="O23" i="14"/>
  <c r="N23" i="14"/>
  <c r="M23" i="14"/>
  <c r="K23" i="14"/>
  <c r="J23" i="14"/>
  <c r="I23" i="14"/>
  <c r="G23" i="14"/>
  <c r="F23" i="14"/>
  <c r="E23" i="14"/>
  <c r="V19" i="14"/>
  <c r="U19" i="14"/>
  <c r="T19" i="14"/>
  <c r="S19" i="14"/>
  <c r="O19" i="14"/>
  <c r="N19" i="14"/>
  <c r="M19" i="14"/>
  <c r="K19" i="14"/>
  <c r="J19" i="14"/>
  <c r="I19" i="14"/>
  <c r="G19" i="14"/>
  <c r="F19" i="14"/>
  <c r="V15" i="14"/>
  <c r="U15" i="14"/>
  <c r="T15" i="14"/>
  <c r="S15" i="14"/>
  <c r="O15" i="14"/>
  <c r="N15" i="14"/>
  <c r="M15" i="14"/>
  <c r="K15" i="14"/>
  <c r="J15" i="14"/>
  <c r="I15" i="14"/>
  <c r="G15" i="14"/>
  <c r="F15" i="14"/>
  <c r="E15" i="14"/>
  <c r="V9" i="14"/>
  <c r="U9" i="14"/>
  <c r="T9" i="14"/>
  <c r="S9" i="14"/>
  <c r="O9" i="14"/>
  <c r="N9" i="14"/>
  <c r="M9" i="14"/>
  <c r="K9" i="14"/>
  <c r="J9" i="14"/>
  <c r="I9" i="14"/>
  <c r="F9" i="14"/>
  <c r="E9" i="14"/>
  <c r="V5" i="14"/>
  <c r="U5" i="14"/>
  <c r="T5" i="14"/>
  <c r="S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S4" i="14"/>
  <c r="U4" i="14"/>
  <c r="G38" i="14"/>
  <c r="J38" i="14"/>
  <c r="M38" i="14"/>
  <c r="O38" i="14"/>
  <c r="T38" i="14"/>
  <c r="V38" i="14"/>
  <c r="F38" i="14"/>
  <c r="I38" i="14"/>
  <c r="K38" i="14"/>
  <c r="N38" i="14"/>
  <c r="S38" i="14"/>
  <c r="U38" i="14"/>
  <c r="G4" i="14"/>
  <c r="J4" i="14"/>
  <c r="M4" i="14"/>
  <c r="O4" i="14"/>
  <c r="T4" i="14"/>
  <c r="V4" i="14"/>
  <c r="E4" i="14"/>
  <c r="N91" i="14"/>
  <c r="N91" i="13" s="1"/>
  <c r="G91" i="14"/>
  <c r="G91" i="13" s="1"/>
  <c r="M91" i="14"/>
  <c r="M91" i="13" s="1"/>
  <c r="T91" i="14"/>
  <c r="T91" i="13" s="1"/>
  <c r="G71" i="14"/>
  <c r="G50" i="13" s="1"/>
  <c r="M71" i="14"/>
  <c r="M50" i="13" s="1"/>
  <c r="T71" i="14"/>
  <c r="T50" i="13" s="1"/>
  <c r="I71" i="14"/>
  <c r="I50" i="13" s="1"/>
  <c r="N71" i="14"/>
  <c r="N50" i="13" s="1"/>
  <c r="U71" i="14"/>
  <c r="U50" i="13" s="1"/>
  <c r="I91" i="14"/>
  <c r="I91" i="13" s="1"/>
  <c r="U91" i="14"/>
  <c r="U91" i="13" s="1"/>
  <c r="E91" i="14"/>
  <c r="F71" i="14"/>
  <c r="F50" i="13" s="1"/>
  <c r="K71" i="14"/>
  <c r="K50" i="13" s="1"/>
  <c r="S71" i="14"/>
  <c r="S50" i="13" s="1"/>
  <c r="J71" i="14"/>
  <c r="J50" i="13" s="1"/>
  <c r="O71" i="14"/>
  <c r="O50" i="13" s="1"/>
  <c r="V71" i="14"/>
  <c r="V50" i="13" s="1"/>
  <c r="F91" i="14"/>
  <c r="F91" i="13" s="1"/>
  <c r="K91" i="14"/>
  <c r="K91" i="13" s="1"/>
  <c r="S91" i="14"/>
  <c r="S91" i="13" s="1"/>
  <c r="J91" i="14"/>
  <c r="J91" i="13" s="1"/>
  <c r="O91" i="14"/>
  <c r="O91" i="13" s="1"/>
  <c r="V91" i="14"/>
  <c r="V91" i="13" s="1"/>
  <c r="E71" i="14"/>
  <c r="D28" i="12"/>
  <c r="U58" i="14"/>
  <c r="N58" i="14"/>
  <c r="I58" i="14"/>
  <c r="E58" i="14"/>
  <c r="S58" i="14"/>
  <c r="K58" i="14"/>
  <c r="F58" i="14"/>
  <c r="D71" i="14" l="1"/>
  <c r="D58" i="14"/>
  <c r="C28" i="12" s="1"/>
  <c r="E91" i="13"/>
  <c r="D91" i="14"/>
  <c r="D38" i="14"/>
  <c r="D4" i="14"/>
  <c r="Q92" i="13"/>
  <c r="Q51" i="13"/>
  <c r="E3" i="14"/>
  <c r="V3" i="14"/>
  <c r="V9" i="13" s="1"/>
  <c r="J3" i="14"/>
  <c r="J9" i="13" s="1"/>
  <c r="O3" i="14"/>
  <c r="O9" i="13" s="1"/>
  <c r="E50" i="13"/>
  <c r="S3" i="14"/>
  <c r="S9" i="13" s="1"/>
  <c r="U3" i="14"/>
  <c r="U9" i="13" s="1"/>
  <c r="G3" i="14"/>
  <c r="G9" i="13" s="1"/>
  <c r="K3" i="14"/>
  <c r="K9" i="13" s="1"/>
  <c r="T3" i="14"/>
  <c r="T9" i="13" s="1"/>
  <c r="M3" i="14"/>
  <c r="M9" i="13" s="1"/>
  <c r="N3" i="14"/>
  <c r="N9" i="13" s="1"/>
  <c r="I3" i="14"/>
  <c r="I9" i="13" s="1"/>
  <c r="F3" i="14"/>
  <c r="E9" i="13" l="1"/>
  <c r="E10" i="13" s="1"/>
  <c r="D3" i="14"/>
  <c r="D91" i="13"/>
  <c r="Q10" i="13"/>
  <c r="D50" i="13"/>
  <c r="C19" i="12"/>
  <c r="C18" i="12"/>
  <c r="F9" i="13"/>
  <c r="D9" i="13" l="1"/>
  <c r="C17" i="12"/>
  <c r="I123" i="13" l="1"/>
  <c r="J123" i="13"/>
  <c r="N123" i="13"/>
  <c r="O123" i="13"/>
  <c r="U123" i="13"/>
  <c r="V123" i="13"/>
  <c r="T123" i="13"/>
  <c r="S123" i="13"/>
  <c r="M123" i="13"/>
  <c r="G123" i="13"/>
  <c r="F123" i="13"/>
  <c r="V82" i="13"/>
  <c r="U82" i="13"/>
  <c r="T82" i="13"/>
  <c r="S82" i="13"/>
  <c r="N82" i="13"/>
  <c r="M82" i="13"/>
  <c r="K82" i="13"/>
  <c r="I82" i="13"/>
  <c r="G82" i="13"/>
  <c r="D82" i="13" l="1"/>
  <c r="D123" i="13"/>
  <c r="E27" i="12" s="1"/>
  <c r="E29" i="12" s="1"/>
  <c r="D27" i="12" l="1"/>
  <c r="D29" i="12" s="1"/>
  <c r="F116" i="13"/>
  <c r="F75" i="13"/>
  <c r="F41" i="13"/>
  <c r="F34" i="13"/>
  <c r="V116" i="13"/>
  <c r="U116" i="13"/>
  <c r="T116" i="13"/>
  <c r="S116" i="13"/>
  <c r="O116" i="13"/>
  <c r="N116" i="13"/>
  <c r="M116" i="13"/>
  <c r="K116" i="13"/>
  <c r="J116" i="13"/>
  <c r="I116" i="13"/>
  <c r="G116" i="13"/>
  <c r="E116" i="13"/>
  <c r="E124" i="13" s="1"/>
  <c r="V75" i="13"/>
  <c r="U75" i="13"/>
  <c r="T75" i="13"/>
  <c r="S75" i="13"/>
  <c r="O75" i="13"/>
  <c r="N75" i="13"/>
  <c r="M75" i="13"/>
  <c r="K75" i="13"/>
  <c r="J75" i="13"/>
  <c r="I75" i="13"/>
  <c r="G75" i="13"/>
  <c r="V41" i="13"/>
  <c r="U41" i="13"/>
  <c r="T41" i="13"/>
  <c r="S41" i="13"/>
  <c r="O41" i="13"/>
  <c r="N41" i="13"/>
  <c r="M41" i="13"/>
  <c r="K41" i="13"/>
  <c r="I41" i="13"/>
  <c r="G41" i="13"/>
  <c r="V34" i="13"/>
  <c r="U34" i="13"/>
  <c r="T34" i="13"/>
  <c r="S34" i="13"/>
  <c r="O34" i="13"/>
  <c r="N34" i="13"/>
  <c r="M34" i="13"/>
  <c r="K34" i="13"/>
  <c r="J34" i="13"/>
  <c r="I34" i="13"/>
  <c r="G34" i="13"/>
  <c r="E17" i="12"/>
  <c r="D17" i="12"/>
  <c r="D116" i="13" l="1"/>
  <c r="E16" i="12" s="1"/>
  <c r="D75" i="13"/>
  <c r="D16" i="12" s="1"/>
  <c r="D34" i="13"/>
  <c r="C16" i="12" s="1"/>
  <c r="D27" i="13"/>
  <c r="C15" i="12" s="1"/>
  <c r="D41" i="13"/>
  <c r="C27" i="12" s="1"/>
  <c r="C29" i="12" s="1"/>
  <c r="M42" i="13"/>
  <c r="M83" i="13"/>
  <c r="D109" i="13"/>
  <c r="E15" i="12" s="1"/>
  <c r="V42" i="13"/>
  <c r="D68" i="13"/>
  <c r="D15" i="12" s="1"/>
  <c r="I88" i="13"/>
  <c r="I90" i="13" s="1"/>
  <c r="I92" i="13" s="1"/>
  <c r="N88" i="13"/>
  <c r="N90" i="13" s="1"/>
  <c r="N92" i="13" s="1"/>
  <c r="G88" i="13"/>
  <c r="G90" i="13" s="1"/>
  <c r="G92" i="13" s="1"/>
  <c r="M88" i="13"/>
  <c r="M90" i="13" s="1"/>
  <c r="M92" i="13" s="1"/>
  <c r="T88" i="13"/>
  <c r="T90" i="13" s="1"/>
  <c r="T92" i="13" s="1"/>
  <c r="J88" i="13"/>
  <c r="J90" i="13" s="1"/>
  <c r="J92" i="13" s="1"/>
  <c r="V124" i="13"/>
  <c r="U88" i="13"/>
  <c r="U90" i="13" s="1"/>
  <c r="U92" i="13" s="1"/>
  <c r="U124" i="13"/>
  <c r="I6" i="13"/>
  <c r="I8" i="13" s="1"/>
  <c r="I10" i="13" s="1"/>
  <c r="K6" i="13"/>
  <c r="K8" i="13" s="1"/>
  <c r="K10" i="13" s="1"/>
  <c r="N6" i="13"/>
  <c r="N8" i="13" s="1"/>
  <c r="N10" i="13" s="1"/>
  <c r="U6" i="13"/>
  <c r="U8" i="13" s="1"/>
  <c r="U10" i="13" s="1"/>
  <c r="G47" i="13"/>
  <c r="G49" i="13" s="1"/>
  <c r="G51" i="13" s="1"/>
  <c r="J47" i="13"/>
  <c r="J49" i="13" s="1"/>
  <c r="J51" i="13" s="1"/>
  <c r="M47" i="13"/>
  <c r="M49" i="13" s="1"/>
  <c r="M51" i="13" s="1"/>
  <c r="O47" i="13"/>
  <c r="O49" i="13" s="1"/>
  <c r="O51" i="13" s="1"/>
  <c r="T47" i="13"/>
  <c r="T49" i="13" s="1"/>
  <c r="T51" i="13" s="1"/>
  <c r="F47" i="13"/>
  <c r="F49" i="13" s="1"/>
  <c r="F51" i="13" s="1"/>
  <c r="J83" i="13"/>
  <c r="I47" i="13"/>
  <c r="I49" i="13" s="1"/>
  <c r="I51" i="13" s="1"/>
  <c r="N47" i="13"/>
  <c r="N49" i="13" s="1"/>
  <c r="N51" i="13" s="1"/>
  <c r="U47" i="13"/>
  <c r="U49" i="13" s="1"/>
  <c r="U51" i="13" s="1"/>
  <c r="G6" i="13"/>
  <c r="G8" i="13" s="1"/>
  <c r="G10" i="13" s="1"/>
  <c r="M6" i="13"/>
  <c r="M8" i="13" s="1"/>
  <c r="M10" i="13" s="1"/>
  <c r="T6" i="13"/>
  <c r="T8" i="13" s="1"/>
  <c r="T10" i="13" s="1"/>
  <c r="F6" i="13"/>
  <c r="S6" i="13"/>
  <c r="S8" i="13" s="1"/>
  <c r="S10" i="13" s="1"/>
  <c r="V83" i="13"/>
  <c r="V47" i="13"/>
  <c r="V49" i="13" s="1"/>
  <c r="V51" i="13" s="1"/>
  <c r="O88" i="13"/>
  <c r="O90" i="13" s="1"/>
  <c r="O92" i="13" s="1"/>
  <c r="V88" i="13"/>
  <c r="V90" i="13" s="1"/>
  <c r="V92" i="13" s="1"/>
  <c r="J6" i="13"/>
  <c r="J8" i="13" s="1"/>
  <c r="J10" i="13" s="1"/>
  <c r="O6" i="13"/>
  <c r="O8" i="13" s="1"/>
  <c r="O10" i="13" s="1"/>
  <c r="V6" i="13"/>
  <c r="V8" i="13" s="1"/>
  <c r="V10" i="13" s="1"/>
  <c r="E83" i="13"/>
  <c r="E47" i="13"/>
  <c r="K47" i="13"/>
  <c r="K49" i="13" s="1"/>
  <c r="K51" i="13" s="1"/>
  <c r="S47" i="13"/>
  <c r="S49" i="13" s="1"/>
  <c r="S51" i="13" s="1"/>
  <c r="E88" i="13"/>
  <c r="K88" i="13"/>
  <c r="K90" i="13" s="1"/>
  <c r="K92" i="13" s="1"/>
  <c r="S88" i="13"/>
  <c r="S90" i="13" s="1"/>
  <c r="S92" i="13" s="1"/>
  <c r="F88" i="13"/>
  <c r="F90" i="13" s="1"/>
  <c r="F92" i="13" s="1"/>
  <c r="F124" i="13"/>
  <c r="T83" i="13"/>
  <c r="O124" i="13"/>
  <c r="T124" i="13"/>
  <c r="M124" i="13"/>
  <c r="N42" i="13"/>
  <c r="N83" i="13"/>
  <c r="G124" i="13"/>
  <c r="J42" i="13"/>
  <c r="K124" i="13"/>
  <c r="S124" i="13"/>
  <c r="I124" i="13"/>
  <c r="J124" i="13"/>
  <c r="O42" i="13"/>
  <c r="S42" i="13"/>
  <c r="T42" i="13"/>
  <c r="K83" i="13"/>
  <c r="S83" i="13"/>
  <c r="K42" i="13"/>
  <c r="I42" i="13"/>
  <c r="U42" i="13"/>
  <c r="O83" i="13"/>
  <c r="G42" i="13"/>
  <c r="G83" i="13"/>
  <c r="I83" i="13"/>
  <c r="U83" i="13"/>
  <c r="N124" i="13"/>
  <c r="F42" i="13"/>
  <c r="F83" i="13"/>
  <c r="D124" i="13" l="1"/>
  <c r="D83" i="13"/>
  <c r="D42" i="13"/>
  <c r="D6" i="13"/>
  <c r="F8" i="13"/>
  <c r="D88" i="13"/>
  <c r="D47" i="13"/>
  <c r="D14" i="12"/>
  <c r="D20" i="12" s="1"/>
  <c r="D31" i="12" s="1"/>
  <c r="E14" i="12"/>
  <c r="E20" i="12" s="1"/>
  <c r="E31" i="12" s="1"/>
  <c r="C14" i="12"/>
  <c r="C20" i="12" s="1"/>
  <c r="C31" i="12" s="1"/>
  <c r="E49" i="13"/>
  <c r="E90" i="13"/>
  <c r="F10" i="13" l="1"/>
  <c r="D10" i="13" s="1"/>
  <c r="D8" i="13"/>
  <c r="E92" i="13"/>
  <c r="D92" i="13" s="1"/>
  <c r="D90" i="13"/>
  <c r="E51" i="13"/>
  <c r="D51" i="13" s="1"/>
  <c r="D49" i="13"/>
  <c r="K36" i="12" l="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7" i="12"/>
  <c r="K8" i="12"/>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<sst xmlns="http://schemas.openxmlformats.org/spreadsheetml/2006/main" count="5107" uniqueCount="2378">
  <si>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</si>
  <si>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</si>
  <si>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</si>
  <si>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</si>
  <si>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</si>
  <si>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</si>
  <si>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</si>
  <si>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</si>
  <si>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</si>
  <si>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</si>
  <si>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</si>
  <si>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</si>
  <si>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</si>
  <si>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</si>
  <si>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</si>
  <si>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</si>
  <si>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</si>
  <si>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</si>
  <si>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</si>
  <si>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</si>
  <si>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</si>
  <si>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</si>
  <si>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</si>
  <si>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</si>
  <si>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</si>
  <si>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</si>
  <si>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</si>
  <si>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</si>
  <si>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</si>
  <si>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</si>
  <si>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</si>
  <si>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</si>
  <si>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</si>
  <si>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</si>
  <si>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</si>
  <si>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</si>
  <si>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</si>
  <si>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</si>
  <si>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</si>
  <si>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</si>
  <si>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</si>
  <si>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</si>
  <si>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2021.</t>
  </si>
  <si>
    <t>GLAVA</t>
  </si>
  <si>
    <t>OPIS GLAVE</t>
  </si>
  <si>
    <t>IZVOR</t>
  </si>
  <si>
    <t>OPIS IZVORA</t>
  </si>
  <si>
    <t>AKTIVNOST</t>
  </si>
  <si>
    <t>OPIS AKTIVNOSTI</t>
  </si>
  <si>
    <t>3705</t>
  </si>
  <si>
    <t>VISOKO OBRAZOVANJE</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</si>
  <si>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</si>
  <si>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</si>
  <si>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</si>
  <si>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</si>
  <si>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</si>
  <si>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</si>
  <si>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</si>
  <si>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</si>
  <si>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</si>
  <si>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</si>
  <si>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</si>
  <si>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</si>
  <si>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</si>
  <si>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</si>
  <si>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</si>
  <si>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</si>
  <si>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</si>
  <si>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</si>
  <si>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</si>
  <si>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</si>
  <si>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</si>
  <si>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</si>
  <si>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</si>
  <si>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</si>
  <si>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</si>
  <si>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</si>
  <si>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</si>
  <si>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</si>
  <si>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</si>
  <si>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</si>
  <si>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</si>
  <si>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</si>
  <si>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</si>
  <si>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</si>
  <si>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</si>
  <si>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</si>
  <si>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</si>
  <si>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</si>
  <si>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</si>
  <si>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</si>
  <si>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</si>
  <si>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</si>
  <si>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</si>
  <si>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</si>
  <si>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</si>
  <si>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</si>
  <si>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</si>
  <si>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</si>
  <si>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</si>
  <si>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</si>
  <si>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</si>
  <si>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</si>
  <si>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</si>
  <si>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</si>
  <si>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</si>
  <si>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</si>
  <si>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</si>
  <si>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</si>
  <si>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</si>
  <si>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</si>
  <si>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</si>
  <si>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</si>
  <si>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</si>
  <si>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</si>
  <si>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</si>
  <si>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</si>
  <si>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</si>
  <si>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</si>
  <si>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</si>
  <si>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</si>
  <si>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</si>
  <si>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</si>
  <si>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</si>
  <si>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</si>
  <si>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</si>
  <si>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</si>
  <si>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</si>
  <si>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</si>
  <si>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</si>
  <si>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</si>
  <si>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</si>
  <si>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</si>
  <si>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</si>
  <si>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</si>
  <si>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</si>
  <si>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</si>
  <si>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</si>
  <si>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</si>
  <si>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</si>
  <si>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</si>
  <si>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</si>
  <si>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</si>
  <si>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</si>
  <si>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</si>
  <si>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</si>
  <si>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</si>
  <si>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</si>
  <si>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</si>
  <si>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</si>
  <si>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</si>
  <si>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</si>
  <si>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</si>
  <si>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</si>
  <si>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</si>
  <si>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</si>
  <si>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</si>
  <si>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</si>
  <si>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</si>
  <si>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</si>
  <si>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</si>
  <si>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</si>
  <si>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</si>
  <si>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</si>
  <si>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</si>
  <si>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</si>
  <si>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</si>
  <si>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</si>
  <si>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</si>
  <si>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</si>
  <si>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</si>
  <si>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</si>
  <si>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</si>
  <si>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</si>
  <si>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</si>
  <si>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</si>
  <si>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</si>
  <si>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</si>
  <si>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</si>
  <si>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</si>
  <si>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</si>
  <si>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</si>
  <si>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</si>
  <si>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</si>
  <si>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</si>
  <si>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</si>
  <si>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</si>
  <si>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</si>
  <si>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</si>
  <si>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</si>
  <si>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</si>
  <si>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</si>
  <si>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</si>
  <si>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</si>
  <si>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</si>
  <si>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</si>
  <si>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</si>
  <si>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</si>
  <si>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</si>
  <si>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</si>
  <si>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</si>
  <si>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</si>
  <si>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</si>
  <si>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</si>
  <si>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</si>
  <si>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</si>
  <si>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</si>
  <si>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</si>
  <si>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</si>
  <si>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</si>
  <si>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</si>
  <si>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</si>
  <si>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</si>
  <si>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</si>
  <si>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</si>
  <si>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</si>
  <si>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</si>
  <si>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</si>
  <si>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</si>
  <si>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</si>
  <si>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</si>
  <si>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</si>
  <si>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</si>
  <si>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Prilog 6. PLAN IZDATAKA ZA OTPLATU GLAVNICE PRIMLJENIH ZAJMOVA</t>
  </si>
  <si>
    <t>Razdjel/Glava       ______________________________</t>
  </si>
  <si>
    <t>Izdaci za otplatu glavnice primljenih zajmova</t>
  </si>
  <si>
    <t>Glava</t>
  </si>
  <si>
    <t>Izvor financiranja</t>
  </si>
  <si>
    <t>Aktivnost/ Projekt</t>
  </si>
  <si>
    <t>Konto izdatka</t>
  </si>
  <si>
    <t>Prijedlog za 
2021.</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</si>
  <si>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</si>
  <si>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</si>
  <si>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</si>
  <si>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</si>
  <si>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</si>
  <si>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</si>
  <si>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</si>
  <si>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</si>
  <si>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</si>
  <si>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</si>
  <si>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</si>
  <si>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</si>
  <si>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</si>
  <si>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</si>
  <si>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</si>
  <si>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</si>
  <si>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</si>
  <si>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</si>
  <si>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</si>
  <si>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</si>
  <si>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</si>
  <si>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</si>
  <si>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</si>
  <si>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</si>
  <si>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</si>
  <si>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</si>
  <si>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</si>
  <si>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</si>
  <si>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</si>
  <si>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</si>
  <si>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</si>
  <si>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</si>
  <si>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</si>
  <si>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</si>
  <si>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</si>
  <si>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</si>
  <si>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</si>
  <si>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</si>
  <si>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</si>
  <si>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</si>
  <si>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</si>
  <si>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</si>
  <si>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</si>
  <si>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</si>
  <si>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</si>
  <si>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</si>
  <si>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</si>
  <si>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</si>
  <si>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</si>
  <si>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</si>
  <si>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</si>
  <si>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</si>
  <si>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</si>
  <si>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</si>
  <si>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</si>
  <si>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</si>
  <si>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</si>
  <si>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</si>
  <si>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</si>
  <si>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</si>
  <si>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</si>
  <si>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</si>
  <si>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</si>
  <si>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</si>
  <si>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</si>
  <si>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</si>
  <si>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</si>
  <si>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</si>
  <si>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</si>
  <si>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</si>
  <si>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</si>
  <si>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</si>
  <si>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</si>
  <si>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</si>
  <si>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</si>
  <si>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</si>
  <si>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</si>
  <si>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</si>
  <si>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</si>
  <si>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</si>
  <si>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</si>
  <si>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</si>
  <si>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</si>
  <si>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Primici (povrati) glavnice zajmova danih neprofitnim organizacijama, građanima i kućanstvima</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</si>
  <si>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</si>
  <si>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</si>
  <si>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</si>
  <si>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</si>
  <si>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</si>
  <si>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</si>
  <si>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</si>
  <si>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</si>
  <si>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</si>
  <si>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</si>
  <si>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</si>
  <si>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</si>
  <si>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</si>
  <si>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</si>
  <si>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</si>
  <si>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</si>
  <si>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</si>
  <si>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</si>
  <si>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</si>
  <si>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</si>
  <si>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</si>
  <si>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</si>
  <si>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</si>
  <si>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</si>
  <si>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</si>
  <si>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</si>
  <si>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</si>
  <si>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</si>
  <si>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</si>
  <si>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</si>
  <si>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</si>
  <si>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</si>
  <si>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</si>
  <si>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</si>
  <si>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</si>
  <si>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</si>
  <si>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</si>
  <si>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</si>
  <si>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</si>
  <si>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PRIJEDLOG PLANA 
UKUPNO za 2019.</t>
  </si>
  <si>
    <t>PROJEKCIJA PLANA 
UKUPNO za 2020.</t>
  </si>
  <si>
    <t>PROJEKCIJA PLANA 
UKUPNO za 2021.</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</si>
  <si>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</si>
  <si>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</si>
  <si>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</si>
  <si>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</si>
  <si>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</si>
  <si>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</si>
  <si>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</si>
  <si>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</si>
  <si>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</si>
  <si>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</si>
  <si>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</si>
  <si>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</si>
  <si>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</si>
  <si>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</si>
  <si>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</si>
  <si>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</si>
  <si>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</si>
  <si>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</si>
  <si>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</si>
  <si>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</si>
  <si>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</si>
  <si>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</si>
  <si>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</si>
  <si>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</si>
  <si>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</si>
  <si>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</si>
  <si>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</si>
  <si>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</si>
  <si>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SVEUČILIŠTE J.J STROSSMAYERA U OSIJEKU - EKONOMSKI FAKULTET</t>
  </si>
  <si>
    <t>TRG LJUDEVITA GAJA 7</t>
  </si>
  <si>
    <t>52778515544</t>
  </si>
  <si>
    <t>KNEZA TRPIMIRA 2 B</t>
  </si>
  <si>
    <t>95494259952</t>
  </si>
  <si>
    <t>SVEUČILIŠTE J.J STROSSMAYERA U OSIJEKU - FILOZOFSKI FAKULTET</t>
  </si>
  <si>
    <t>LORENZA JAGERA 9</t>
  </si>
  <si>
    <t>58868871646</t>
  </si>
  <si>
    <t>SVEUČILIŠTE J.J.STROSSMAYERA U OSIJEKU - GRADSKA I SVEUČILIŠNA KNJIŽNICA</t>
  </si>
  <si>
    <t>EUROPSKA AVENIJA 24</t>
  </si>
  <si>
    <t>46627536930</t>
  </si>
  <si>
    <t>04150850819</t>
  </si>
  <si>
    <t>SVEUČILIŠTE J.J STROSSMAYERA U OSIJEKU - MEDICINSKI FAKULTET</t>
  </si>
  <si>
    <t>HUTTLEROVA 4</t>
  </si>
  <si>
    <t>16214165873</t>
  </si>
  <si>
    <t>VLADIMIRA PRELOGA 1</t>
  </si>
  <si>
    <t>98816779821</t>
  </si>
  <si>
    <t>SVEUČILIŠTE J.J STROSSMAYERA U OSIJEKU - PRAVNI FAKULTET</t>
  </si>
  <si>
    <t>STJEPANA RADIĆA 13</t>
  </si>
  <si>
    <t xml:space="preserve"> 31000 OSIJEK</t>
  </si>
  <si>
    <t>26416570803</t>
  </si>
  <si>
    <t>SVEUČILIŠTE J.J STROSSMAYERA U OSIJEKU - PREHRAMBENO TEHNOLOŠKI FAKULTET</t>
  </si>
  <si>
    <t>FRANJE KUHAČA 20</t>
  </si>
  <si>
    <t>96371000697</t>
  </si>
  <si>
    <t>SVEUČILIŠTE J.J STROSSMAYERA U OSIJEKU - FAKULTET ZA ODGOJNE I OBRAZOVNE ZNANOSTI</t>
  </si>
  <si>
    <t>CARA HADRIJANA 10</t>
  </si>
  <si>
    <t>28082679513</t>
  </si>
  <si>
    <t>SVEUČILIŠTE J.J.STROSSMAYERA U OSIJEKU - KATOLIČKI BOGOSLOVNI FAKULTET U ĐAKOVU</t>
  </si>
  <si>
    <t xml:space="preserve">PETRA PRERADOVIĆA 17 </t>
  </si>
  <si>
    <t>31400 ĐAKOVO</t>
  </si>
  <si>
    <t>05384220316</t>
  </si>
  <si>
    <t>SVEUČILIŠTE J.J.STROSSMAYERA U OSIJEKU - FAKULTET ZA DENTALNU MEDICINU I ZDRAVSTVO</t>
  </si>
  <si>
    <t>CRKVENA 21</t>
  </si>
  <si>
    <t>83830458507</t>
  </si>
  <si>
    <t>SVEUČILIŠTE J.J.STROSSMAYERA U OSIJEKU - AKADEMIJA ZA UMJETNOST I KULTURU U OSIJEKU</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</si>
  <si>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</si>
  <si>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</si>
  <si>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</si>
  <si>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</si>
  <si>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</si>
  <si>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</si>
  <si>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</si>
  <si>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</si>
  <si>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</si>
  <si>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</si>
  <si>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</si>
  <si>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</si>
  <si>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</si>
  <si>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</si>
  <si>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</si>
  <si>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</si>
  <si>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</si>
  <si>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</si>
  <si>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</si>
  <si>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</si>
  <si>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</si>
  <si>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</si>
  <si>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</si>
  <si>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</si>
  <si>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</si>
  <si>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</si>
  <si>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</si>
  <si>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</si>
  <si>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</si>
  <si>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</si>
  <si>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</si>
  <si>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</si>
  <si>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</si>
  <si>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</si>
  <si>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</si>
  <si>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</si>
  <si>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</si>
  <si>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</si>
  <si>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</si>
  <si>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</si>
  <si>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</si>
  <si>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</si>
  <si>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</si>
  <si>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</si>
  <si>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</si>
  <si>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</si>
  <si>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</si>
  <si>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</si>
  <si>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</si>
  <si>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</si>
  <si>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</si>
  <si>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</si>
  <si>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</si>
  <si>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</si>
  <si>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</si>
  <si>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</si>
  <si>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</si>
  <si>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</si>
  <si>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</si>
  <si>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</si>
  <si>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</si>
  <si>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</si>
  <si>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</si>
  <si>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</si>
  <si>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</si>
  <si>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</si>
  <si>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</si>
  <si>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</si>
  <si>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</si>
  <si>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</si>
  <si>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</si>
  <si>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</si>
  <si>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</si>
  <si>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</si>
  <si>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</si>
  <si>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</si>
  <si>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</si>
  <si>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</si>
  <si>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</si>
  <si>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</si>
  <si>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</si>
  <si>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</si>
  <si>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</si>
  <si>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</si>
  <si>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</si>
  <si>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</si>
  <si>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</si>
  <si>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</si>
  <si>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</si>
  <si>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</si>
  <si>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</si>
  <si>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</si>
  <si>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</si>
  <si>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</si>
  <si>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</si>
  <si>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</si>
  <si>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</si>
  <si>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</si>
  <si>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</si>
  <si>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</si>
  <si>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</si>
  <si>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</si>
  <si>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</si>
  <si>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</si>
  <si>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</si>
  <si>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</si>
  <si>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</si>
  <si>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</si>
  <si>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</si>
  <si>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</si>
  <si>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</si>
  <si>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</si>
  <si>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</si>
  <si>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</si>
  <si>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</si>
  <si>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</si>
  <si>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</si>
  <si>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</si>
  <si>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</si>
  <si>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</si>
  <si>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</si>
  <si>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</si>
  <si>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</si>
  <si>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</si>
  <si>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</si>
  <si>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</si>
  <si>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</si>
  <si>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</si>
  <si>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</si>
  <si>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</si>
  <si>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</si>
  <si>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</si>
  <si>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</si>
  <si>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</si>
  <si>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</si>
  <si>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</si>
  <si>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</si>
  <si>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</si>
  <si>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</si>
  <si>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</si>
  <si>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</si>
  <si>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</si>
  <si>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</si>
  <si>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</si>
  <si>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</si>
  <si>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</si>
  <si>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</si>
  <si>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</si>
  <si>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</si>
  <si>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</si>
  <si>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</si>
  <si>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</si>
  <si>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</si>
  <si>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</si>
  <si>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</si>
  <si>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</si>
  <si>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</si>
  <si>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</si>
  <si>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</si>
  <si>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</si>
  <si>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</si>
  <si>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</si>
  <si>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</si>
  <si>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</si>
  <si>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</si>
  <si>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</si>
  <si>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</si>
  <si>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</si>
  <si>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</si>
  <si>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</si>
  <si>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</si>
  <si>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</si>
  <si>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</si>
  <si>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</si>
  <si>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</si>
  <si>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SVEUČILIŠTE U ZAGREBU - ŠUMARSKI FAKULTET</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</si>
  <si>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</si>
  <si>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</si>
  <si>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</si>
  <si>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</si>
  <si>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</si>
  <si>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</si>
  <si>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</si>
  <si>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</si>
  <si>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</si>
  <si>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</si>
  <si>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</si>
  <si>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</si>
  <si>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</si>
  <si>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</si>
  <si>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</si>
  <si>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</si>
  <si>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</si>
  <si>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</si>
  <si>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</si>
  <si>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</si>
  <si>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</si>
  <si>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</si>
  <si>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</si>
  <si>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</si>
  <si>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</si>
  <si>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</si>
  <si>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</si>
  <si>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</si>
  <si>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</si>
  <si>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</si>
  <si>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</si>
  <si>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</si>
  <si>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</si>
  <si>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</si>
  <si>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</si>
  <si>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</si>
  <si>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</si>
  <si>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</si>
  <si>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</si>
  <si>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</si>
  <si>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</si>
  <si>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</si>
  <si>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</si>
  <si>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</si>
  <si>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</si>
  <si>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</si>
  <si>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</si>
  <si>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</si>
  <si>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VISOKA ŠKOLA ZA MENEDŽMENT U TURIZMU I INFORMATICI</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</si>
  <si>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</si>
  <si>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</si>
  <si>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</si>
  <si>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</si>
  <si>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</si>
  <si>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</si>
  <si>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</si>
  <si>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</si>
  <si>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</si>
  <si>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</si>
  <si>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</si>
  <si>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</si>
  <si>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</si>
  <si>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</si>
  <si>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</si>
  <si>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</si>
  <si>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</si>
  <si>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</si>
  <si>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</si>
  <si>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</si>
  <si>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</si>
  <si>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</si>
  <si>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</si>
  <si>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</si>
  <si>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</si>
  <si>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</si>
  <si>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</si>
  <si>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</si>
  <si>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</si>
  <si>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</si>
  <si>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</si>
  <si>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</si>
  <si>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</si>
  <si>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</si>
  <si>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</si>
  <si>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</si>
  <si>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</si>
  <si>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</si>
  <si>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</si>
  <si>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</si>
  <si>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</si>
  <si>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</si>
  <si>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</si>
  <si>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</si>
  <si>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</si>
  <si>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</si>
  <si>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</si>
  <si>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</si>
  <si>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</si>
  <si>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</si>
  <si>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</si>
  <si>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</si>
  <si>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</si>
  <si>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</si>
  <si>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</si>
  <si>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</si>
  <si>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</si>
  <si>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</si>
  <si>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</si>
  <si>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</si>
  <si>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</si>
  <si>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</si>
  <si>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</si>
  <si>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</si>
  <si>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</si>
  <si>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</si>
  <si>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</si>
  <si>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</si>
  <si>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</si>
  <si>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</si>
  <si>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</si>
  <si>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</si>
  <si>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</si>
  <si>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</si>
  <si>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</si>
  <si>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</si>
  <si>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</si>
  <si>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</si>
  <si>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</si>
  <si>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</si>
  <si>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</si>
  <si>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</si>
  <si>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</si>
  <si>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</si>
  <si>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</si>
  <si>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</si>
  <si>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</si>
  <si>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</si>
  <si>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</si>
  <si>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</si>
  <si>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</si>
  <si>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</si>
  <si>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</si>
  <si>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</si>
  <si>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</si>
  <si>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</si>
  <si>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</si>
  <si>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</si>
  <si>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</si>
  <si>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</si>
  <si>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</si>
  <si>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PETRAČIĆEVA 4</t>
  </si>
  <si>
    <t>94833993984</t>
  </si>
  <si>
    <t>AGENCIJA ZA MOBILNOST I PROGRAME EUROPSKE UNIJE</t>
  </si>
  <si>
    <t>25385906011</t>
  </si>
  <si>
    <t>AGENCIJA ZA STRUKOVNO OBRAZOVANJE I OBRAZOVANJE ODRASLIH</t>
  </si>
  <si>
    <t>RADNIČKA CESTA 37B</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</si>
  <si>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</si>
  <si>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</si>
  <si>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</si>
  <si>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</si>
  <si>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</si>
  <si>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</si>
  <si>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</si>
  <si>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</si>
  <si>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</si>
  <si>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</si>
  <si>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</si>
  <si>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</si>
  <si>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</si>
  <si>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</si>
  <si>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</si>
  <si>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</si>
  <si>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</si>
  <si>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</si>
  <si>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</si>
  <si>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</si>
  <si>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</si>
  <si>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</si>
  <si>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</si>
  <si>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</si>
  <si>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</si>
  <si>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</si>
  <si>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</si>
  <si>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</si>
  <si>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</si>
  <si>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</si>
  <si>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</si>
  <si>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</si>
  <si>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</si>
  <si>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</si>
  <si>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</si>
  <si>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</si>
  <si>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</si>
  <si>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</si>
  <si>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</si>
  <si>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</si>
  <si>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</si>
  <si>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</si>
  <si>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</si>
  <si>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</si>
  <si>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</si>
  <si>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</si>
  <si>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</si>
  <si>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</si>
  <si>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</si>
  <si>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</si>
  <si>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</si>
  <si>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</si>
  <si>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</si>
  <si>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</si>
  <si>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</si>
  <si>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</si>
  <si>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</si>
  <si>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</si>
  <si>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</si>
  <si>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</si>
  <si>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</si>
  <si>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</si>
  <si>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</si>
  <si>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</si>
  <si>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</si>
  <si>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</si>
  <si>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</si>
  <si>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</si>
  <si>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</si>
  <si>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</si>
  <si>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</si>
  <si>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</si>
  <si>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</si>
  <si>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</si>
  <si>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</si>
  <si>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</si>
  <si>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</si>
  <si>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</si>
  <si>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</si>
  <si>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</si>
  <si>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</si>
  <si>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</si>
  <si>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</si>
  <si>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</si>
  <si>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</si>
  <si>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</si>
  <si>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</si>
  <si>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</si>
  <si>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</si>
  <si>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</si>
  <si>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</si>
  <si>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</si>
  <si>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</si>
  <si>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</si>
  <si>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</si>
  <si>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</si>
  <si>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</si>
  <si>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</si>
  <si>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</si>
  <si>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</si>
  <si>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</si>
  <si>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</si>
  <si>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</si>
  <si>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</si>
  <si>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</si>
  <si>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</si>
  <si>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</si>
  <si>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</si>
  <si>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</si>
  <si>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</si>
  <si>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</si>
  <si>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</si>
  <si>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</si>
  <si>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</si>
  <si>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</si>
  <si>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</si>
  <si>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</si>
  <si>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</si>
  <si>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</si>
  <si>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</si>
  <si>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</si>
  <si>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</si>
  <si>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</si>
  <si>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</si>
  <si>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</si>
  <si>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</si>
  <si>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</si>
  <si>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</si>
  <si>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</si>
  <si>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</si>
  <si>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</si>
  <si>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</si>
  <si>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</si>
  <si>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</si>
  <si>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</si>
  <si>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</si>
  <si>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</si>
  <si>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</si>
  <si>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</si>
  <si>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</si>
  <si>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</si>
  <si>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</si>
  <si>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</si>
  <si>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</si>
  <si>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</si>
  <si>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</si>
  <si>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</si>
  <si>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</si>
  <si>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</si>
  <si>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</si>
  <si>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</si>
  <si>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</si>
  <si>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</si>
  <si>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</si>
  <si>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</si>
  <si>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</si>
  <si>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</si>
  <si>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</si>
  <si>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</si>
  <si>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</si>
  <si>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</si>
  <si>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</si>
  <si>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</si>
  <si>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</si>
  <si>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</si>
  <si>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</si>
  <si>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</si>
  <si>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</si>
  <si>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</si>
  <si>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</si>
  <si>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</si>
  <si>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</si>
  <si>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</si>
  <si>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</si>
  <si>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</si>
  <si>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</si>
  <si>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</si>
  <si>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</si>
  <si>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</si>
  <si>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</si>
  <si>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</si>
  <si>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</si>
  <si>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</si>
  <si>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</si>
  <si>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</si>
  <si>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</si>
  <si>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</si>
  <si>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</si>
  <si>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</si>
  <si>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</si>
  <si>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</si>
  <si>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</si>
  <si>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</si>
  <si>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</si>
  <si>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</si>
  <si>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</si>
  <si>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</si>
  <si>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</si>
  <si>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</si>
  <si>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</si>
  <si>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</si>
  <si>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</si>
  <si>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</si>
  <si>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</si>
  <si>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</si>
  <si>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</si>
  <si>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</si>
  <si>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</si>
  <si>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</si>
  <si>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</si>
  <si>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</si>
  <si>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</si>
  <si>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</si>
  <si>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</si>
  <si>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</si>
  <si>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</si>
  <si>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</si>
  <si>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</si>
  <si>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</si>
  <si>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</si>
  <si>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</si>
  <si>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</si>
  <si>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</si>
  <si>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</si>
  <si>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</si>
  <si>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</si>
  <si>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</si>
  <si>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</si>
  <si>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</si>
  <si>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</si>
  <si>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</si>
  <si>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</si>
  <si>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</si>
  <si>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</si>
  <si>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</si>
  <si>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</si>
  <si>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</si>
  <si>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</si>
  <si>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</si>
  <si>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</si>
  <si>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</si>
  <si>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</si>
  <si>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</si>
  <si>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</si>
  <si>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</si>
  <si>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</si>
  <si>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</si>
  <si>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</si>
  <si>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</si>
  <si>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</si>
  <si>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</si>
  <si>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</si>
  <si>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</si>
  <si>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</si>
  <si>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</si>
  <si>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</si>
  <si>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</si>
  <si>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</si>
  <si>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</si>
  <si>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</si>
  <si>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</si>
  <si>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</si>
  <si>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</si>
  <si>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</si>
  <si>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</si>
  <si>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</si>
  <si>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</si>
  <si>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</si>
  <si>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</si>
  <si>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</si>
  <si>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</si>
  <si>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</si>
  <si>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</si>
  <si>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</si>
  <si>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</si>
  <si>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</si>
  <si>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</si>
  <si>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</si>
  <si>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</si>
  <si>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</si>
  <si>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</si>
  <si>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</si>
  <si>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</si>
  <si>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</si>
  <si>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</si>
  <si>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</si>
  <si>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</si>
  <si>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</si>
  <si>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</si>
  <si>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</si>
  <si>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</si>
  <si>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</si>
  <si>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</si>
  <si>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</si>
  <si>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</si>
  <si>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</si>
  <si>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</si>
  <si>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</si>
  <si>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</si>
  <si>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</si>
  <si>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</si>
  <si>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</si>
  <si>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</si>
  <si>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</si>
  <si>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</si>
  <si>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</si>
  <si>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</si>
  <si>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</si>
  <si>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</si>
  <si>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</si>
  <si>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</si>
  <si>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</si>
  <si>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</si>
  <si>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</si>
  <si>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</si>
  <si>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</si>
  <si>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</si>
  <si>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</si>
  <si>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</si>
  <si>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</si>
  <si>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</si>
  <si>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</si>
  <si>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</si>
  <si>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</si>
  <si>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</si>
  <si>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</si>
  <si>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</si>
  <si>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</si>
  <si>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</si>
  <si>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</si>
  <si>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</si>
  <si>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</si>
  <si>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</si>
  <si>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</si>
  <si>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</si>
  <si>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</si>
  <si>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</si>
  <si>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</si>
  <si>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</si>
  <si>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</si>
  <si>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</si>
  <si>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</si>
  <si>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</si>
  <si>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</si>
  <si>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</si>
  <si>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</si>
  <si>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</si>
  <si>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</si>
  <si>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</si>
  <si>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</si>
  <si>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</si>
  <si>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</si>
  <si>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</si>
  <si>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</si>
  <si>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</si>
  <si>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</si>
  <si>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</si>
  <si>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</si>
  <si>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</si>
  <si>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</si>
  <si>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</si>
  <si>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</si>
  <si>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</si>
  <si>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</si>
  <si>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</si>
  <si>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</si>
  <si>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</si>
  <si>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</si>
  <si>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</si>
  <si>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</si>
  <si>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</si>
  <si>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</si>
  <si>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</si>
  <si>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</si>
  <si>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</si>
  <si>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</si>
  <si>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</si>
  <si>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</si>
  <si>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</si>
  <si>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</si>
  <si>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</si>
  <si>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</si>
  <si>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</si>
  <si>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</si>
  <si>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</si>
  <si>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</si>
  <si>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</si>
  <si>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</si>
  <si>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</si>
  <si>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</si>
  <si>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</si>
  <si>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</si>
  <si>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</si>
  <si>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</si>
  <si>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</si>
  <si>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</si>
  <si>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</si>
  <si>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</si>
  <si>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</si>
  <si>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</si>
  <si>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</si>
  <si>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</si>
  <si>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</si>
  <si>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</si>
  <si>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</si>
  <si>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</si>
  <si>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</si>
  <si>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</si>
  <si>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</si>
  <si>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</si>
  <si>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</si>
  <si>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</si>
  <si>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</si>
  <si>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</si>
  <si>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</si>
  <si>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</si>
  <si>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</si>
  <si>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</si>
  <si>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</si>
  <si>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</si>
  <si>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</si>
  <si>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</si>
  <si>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</si>
  <si>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</si>
  <si>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</si>
  <si>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</si>
  <si>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</si>
  <si>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</si>
  <si>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</si>
  <si>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</si>
  <si>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</si>
  <si>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</si>
  <si>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</si>
  <si>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</si>
  <si>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</si>
  <si>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</si>
  <si>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</si>
  <si>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</si>
  <si>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</si>
  <si>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</si>
  <si>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</si>
  <si>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</si>
  <si>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</si>
  <si>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</si>
  <si>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</si>
  <si>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</si>
  <si>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</si>
  <si>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3801</t>
  </si>
  <si>
    <t>ULAGANJE U ZNANSTVENO ISTRAŽIVAČKU DJELATNOST</t>
  </si>
  <si>
    <t>Javni instituti u Republici Hrvatskoj</t>
  </si>
  <si>
    <t>A622009</t>
  </si>
  <si>
    <t>POTICAJ RAZVOJA ZNANOSTI I ULAGANJA U KADROVE - FINANCIRANJE ŠKOLARINA ZA POSLIJEDIPLOMSKI STUDIJ</t>
  </si>
  <si>
    <t>A622120</t>
  </si>
  <si>
    <t>08005</t>
  </si>
  <si>
    <t>Ministarstvo znanosti i obrazovanja</t>
  </si>
  <si>
    <t>3701</t>
  </si>
  <si>
    <t>RAZVOJ ODGOJNO OBRAZOVNOG SUSTAVA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</si>
  <si>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</si>
  <si>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</si>
  <si>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</si>
  <si>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</si>
  <si>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</si>
  <si>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</si>
  <si>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</si>
  <si>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</si>
  <si>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</si>
  <si>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</si>
  <si>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</si>
  <si>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</si>
  <si>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</si>
  <si>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</si>
  <si>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K768057</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</si>
  <si>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</si>
  <si>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</si>
  <si>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</si>
  <si>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</si>
  <si>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</si>
  <si>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</si>
  <si>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</si>
  <si>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</si>
  <si>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</si>
  <si>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</si>
  <si>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</si>
  <si>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</si>
  <si>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</si>
  <si>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</si>
  <si>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</si>
  <si>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</si>
  <si>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</si>
  <si>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</si>
  <si>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</si>
  <si>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</si>
  <si>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</si>
  <si>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</si>
  <si>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</si>
  <si>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</si>
  <si>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</si>
  <si>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</si>
  <si>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</si>
  <si>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</si>
  <si>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</si>
  <si>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3803</t>
  </si>
  <si>
    <t>RAZVOJ INFORMACIJSKOG DRUŠTVA</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</si>
  <si>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</si>
  <si>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</si>
  <si>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</si>
  <si>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</si>
  <si>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</si>
  <si>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</si>
  <si>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</si>
  <si>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</si>
  <si>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</si>
  <si>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</si>
  <si>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</si>
  <si>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</si>
  <si>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</si>
  <si>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</si>
  <si>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</si>
  <si>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</si>
  <si>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</si>
  <si>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</si>
  <si>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</si>
  <si>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</si>
  <si>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</si>
  <si>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</si>
  <si>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</si>
  <si>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</si>
  <si>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</si>
  <si>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</si>
  <si>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</si>
  <si>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</si>
  <si>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</si>
  <si>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</si>
  <si>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</si>
  <si>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</si>
  <si>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</si>
  <si>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</si>
  <si>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</si>
  <si>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</si>
  <si>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</si>
  <si>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</si>
  <si>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</si>
  <si>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</si>
  <si>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</si>
  <si>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</si>
  <si>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</si>
  <si>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</si>
  <si>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</si>
  <si>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</si>
  <si>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</si>
  <si>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</si>
  <si>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</si>
  <si>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</si>
  <si>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</si>
  <si>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A733003</t>
  </si>
  <si>
    <t>NACIONALNI PROGRAMI</t>
  </si>
  <si>
    <t>A733027</t>
  </si>
  <si>
    <t>STRUČNO USAVRŠAVANJE U OKVIRU ŽUPANIJSKIH STRUČNIH VIJEĆA</t>
  </si>
  <si>
    <t>A733028</t>
  </si>
  <si>
    <t>CENTAR ZA MEĐUNARODNU SURADNJU</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</si>
  <si>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</si>
  <si>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</si>
  <si>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</si>
  <si>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</si>
  <si>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</si>
  <si>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</si>
  <si>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</si>
  <si>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</si>
  <si>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</si>
  <si>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</si>
  <si>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</si>
  <si>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</si>
  <si>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</si>
  <si>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</si>
  <si>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</si>
  <si>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</si>
  <si>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</si>
  <si>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</si>
  <si>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</si>
  <si>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</si>
  <si>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</si>
  <si>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</si>
  <si>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</si>
  <si>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</si>
  <si>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</si>
  <si>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</si>
  <si>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</si>
  <si>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</si>
  <si>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A867006</t>
  </si>
  <si>
    <t>JAČANJE SPOSOBNOSTI U PODRUČJU STRUČNOG VISOKOG OBRAZOVANJA U EUROPI (BUILDPHE)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</si>
  <si>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</si>
  <si>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</si>
  <si>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</si>
  <si>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</si>
  <si>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</si>
  <si>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</si>
  <si>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</si>
  <si>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</si>
  <si>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</si>
  <si>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</si>
  <si>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</si>
  <si>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</si>
  <si>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</si>
  <si>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</si>
  <si>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</si>
  <si>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40883</t>
  </si>
  <si>
    <t>Nacionalni centar za vanjsko vrednovanje obrazovanja</t>
  </si>
  <si>
    <t>A580046</t>
  </si>
  <si>
    <t>ADMINISTRACIJA I UPRAVLJANJE NACIONALNOG CENTRA ZA VANJSKO VREDNOVANJE OBRAZOVANJA</t>
  </si>
  <si>
    <t>A814000</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</si>
  <si>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</si>
  <si>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</si>
  <si>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</si>
  <si>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</si>
  <si>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</si>
  <si>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</si>
  <si>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</si>
  <si>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</si>
  <si>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</si>
  <si>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</si>
  <si>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</si>
  <si>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</si>
  <si>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K814004</t>
  </si>
  <si>
    <t>NABAVA INFORMATIČKE OPREME ZA EVALUACIJU ZNANJA UČENIKA - NCVVO</t>
  </si>
  <si>
    <t>K628067</t>
  </si>
  <si>
    <t>IZRADA SREDIŠNJEG REGISTRA ZA DRŽAVNU MATURU</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</si>
  <si>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</si>
  <si>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</si>
  <si>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</si>
  <si>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</si>
  <si>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</si>
  <si>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</si>
  <si>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</si>
  <si>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</si>
  <si>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</si>
  <si>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</si>
  <si>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</si>
  <si>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</si>
  <si>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</si>
  <si>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</si>
  <si>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</si>
  <si>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</si>
  <si>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</si>
  <si>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</si>
  <si>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</si>
  <si>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</si>
  <si>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</si>
  <si>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</si>
  <si>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</si>
  <si>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</si>
  <si>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</si>
  <si>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</si>
  <si>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</si>
  <si>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A818057</t>
  </si>
  <si>
    <t>ERASMUS PLUS – K3 PROJEKT UMREŽAVANJE NACIONALNIH AGENCIJA U PODRUČJU MLADI</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</si>
  <si>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</si>
  <si>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</si>
  <si>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</si>
  <si>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</si>
  <si>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</si>
  <si>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</si>
  <si>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</si>
  <si>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</si>
  <si>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</si>
  <si>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</si>
  <si>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</si>
  <si>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</si>
  <si>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</si>
  <si>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</si>
  <si>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</si>
  <si>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</si>
  <si>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</si>
  <si>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</si>
  <si>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</si>
  <si>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</si>
  <si>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</si>
  <si>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</si>
  <si>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</si>
  <si>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</si>
  <si>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</si>
  <si>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</si>
  <si>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</si>
  <si>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</si>
  <si>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</si>
  <si>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</si>
  <si>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</si>
  <si>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</si>
  <si>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</si>
  <si>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</si>
  <si>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</si>
  <si>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</si>
  <si>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K848038</t>
  </si>
  <si>
    <t>T848027</t>
  </si>
  <si>
    <t>OP UČINKOVITI LJUDSKI POTENCIJALI 2014. - 2020., PRIORITET 5</t>
  </si>
  <si>
    <t>PODPROJEKTI (P4)</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</si>
  <si>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</si>
  <si>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</si>
  <si>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</si>
  <si>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</si>
  <si>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</si>
  <si>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</si>
  <si>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</si>
  <si>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</si>
  <si>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</si>
  <si>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</si>
  <si>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</si>
  <si>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</si>
  <si>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</si>
  <si>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</si>
  <si>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</si>
  <si>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</si>
  <si>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</si>
  <si>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</si>
  <si>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</si>
  <si>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</si>
  <si>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</si>
  <si>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</si>
  <si>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</si>
  <si>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</si>
  <si>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</si>
  <si>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</si>
  <si>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</si>
  <si>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</si>
  <si>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</si>
  <si>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</si>
  <si>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</si>
  <si>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</si>
  <si>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</si>
  <si>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</si>
  <si>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</si>
  <si>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</si>
  <si>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</si>
  <si>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</si>
  <si>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</si>
  <si>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</si>
  <si>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</si>
  <si>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</si>
  <si>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</si>
  <si>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</si>
  <si>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</si>
  <si>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</si>
  <si>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</si>
  <si>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</si>
  <si>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</si>
  <si>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</si>
  <si>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</si>
  <si>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</si>
  <si>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</si>
  <si>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</si>
  <si>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</si>
  <si>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</si>
  <si>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</si>
  <si>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</si>
  <si>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</si>
  <si>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</si>
  <si>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</si>
  <si>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</si>
  <si>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</si>
  <si>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</si>
  <si>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</si>
  <si>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</si>
  <si>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</si>
  <si>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</si>
  <si>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</si>
  <si>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</si>
  <si>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</si>
  <si>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</si>
  <si>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</si>
  <si>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</si>
  <si>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</si>
  <si>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</si>
  <si>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</si>
  <si>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</si>
  <si>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</si>
  <si>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</si>
  <si>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</si>
  <si>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</si>
  <si>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</si>
  <si>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</si>
  <si>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</si>
  <si>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</si>
  <si>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</si>
  <si>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</si>
  <si>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IZVOR 83                Namjenski primici od inozemnog zaduživanja</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</si>
  <si>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</si>
  <si>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</si>
  <si>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</si>
  <si>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</si>
  <si>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</si>
  <si>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</si>
  <si>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</si>
  <si>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</si>
  <si>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</si>
  <si>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</si>
  <si>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</si>
  <si>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</si>
  <si>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</si>
  <si>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</si>
  <si>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</si>
  <si>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</si>
  <si>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</si>
  <si>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</si>
  <si>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</si>
  <si>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</si>
  <si>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</si>
  <si>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</si>
  <si>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Predujam za 2.projekt tehnologijskog razvoja IBRD P4640</t>
  </si>
  <si>
    <t>2.projekt tehnologijskog razvoja IBRD 82580</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</si>
  <si>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</si>
  <si>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</si>
  <si>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</si>
  <si>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</si>
  <si>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</si>
  <si>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</si>
  <si>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</si>
  <si>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</si>
  <si>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</si>
  <si>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</si>
  <si>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</si>
  <si>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</si>
  <si>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</si>
  <si>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</si>
  <si>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</si>
  <si>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</si>
  <si>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</si>
  <si>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</si>
  <si>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</si>
  <si>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</si>
  <si>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</si>
  <si>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</si>
  <si>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</si>
  <si>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</si>
  <si>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</si>
  <si>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'Informatizacija procesa i uspostava cjelovite elektroničke usluge upisa u odgojne i obrazovne ustanove</t>
  </si>
  <si>
    <t>K818050.025</t>
  </si>
  <si>
    <t>'Nove prilike za odrasle</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</si>
  <si>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</si>
  <si>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</si>
  <si>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</si>
  <si>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</si>
  <si>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</si>
  <si>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</si>
  <si>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</si>
  <si>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</si>
  <si>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</si>
  <si>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</si>
  <si>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</si>
  <si>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</si>
  <si>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</si>
  <si>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</si>
  <si>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</si>
  <si>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</si>
  <si>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</si>
  <si>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</si>
  <si>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</si>
  <si>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</si>
  <si>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</si>
  <si>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</si>
  <si>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</si>
  <si>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</si>
  <si>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</si>
  <si>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</si>
  <si>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</si>
  <si>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</si>
  <si>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A679071.024</t>
  </si>
  <si>
    <t>Projekt razvoja karijere mladih istraživača - izobrazba novih doktora znanosti</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</si>
  <si>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</si>
  <si>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</si>
  <si>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</si>
  <si>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</si>
  <si>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</si>
  <si>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</si>
  <si>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</si>
  <si>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</si>
  <si>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</si>
  <si>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</si>
  <si>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</si>
  <si>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</si>
  <si>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</si>
  <si>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</si>
  <si>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</si>
  <si>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</si>
  <si>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</si>
  <si>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</si>
  <si>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</si>
  <si>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</si>
  <si>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</si>
  <si>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</si>
  <si>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</si>
  <si>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</si>
  <si>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</si>
  <si>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</si>
  <si>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</si>
  <si>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</si>
  <si>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</si>
  <si>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</si>
  <si>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</si>
  <si>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</si>
  <si>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</si>
  <si>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</si>
  <si>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</si>
  <si>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</si>
  <si>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</si>
  <si>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</si>
  <si>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</si>
  <si>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</si>
  <si>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</si>
  <si>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</si>
  <si>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</si>
  <si>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</si>
  <si>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</si>
  <si>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</si>
  <si>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</si>
  <si>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</si>
  <si>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</si>
  <si>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</si>
  <si>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</si>
  <si>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</si>
  <si>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</si>
  <si>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</si>
  <si>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</si>
  <si>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</si>
  <si>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</si>
  <si>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</si>
  <si>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</si>
  <si>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</si>
  <si>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</si>
  <si>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</si>
  <si>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</si>
  <si>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</si>
  <si>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</si>
  <si>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</si>
  <si>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</si>
  <si>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</si>
  <si>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</si>
  <si>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</si>
  <si>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</si>
  <si>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</si>
  <si>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</si>
  <si>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</si>
  <si>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</si>
  <si>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</si>
  <si>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</si>
  <si>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</si>
  <si>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</si>
  <si>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</si>
  <si>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</si>
  <si>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</si>
  <si>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</si>
  <si>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</si>
  <si>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</si>
  <si>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</si>
  <si>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</si>
  <si>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</si>
  <si>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</si>
  <si>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</si>
  <si>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</si>
  <si>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</si>
  <si>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</si>
  <si>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</si>
  <si>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</si>
  <si>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</si>
  <si>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</si>
  <si>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</si>
  <si>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</si>
  <si>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</si>
  <si>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</si>
  <si>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</si>
  <si>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</si>
  <si>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</si>
  <si>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</si>
  <si>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</si>
  <si>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</si>
  <si>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</si>
  <si>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</si>
  <si>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</si>
  <si>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</si>
  <si>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</si>
  <si>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</si>
  <si>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</si>
  <si>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</si>
  <si>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</si>
  <si>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</si>
  <si>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</si>
  <si>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</si>
  <si>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</si>
  <si>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</si>
  <si>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</si>
  <si>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</si>
  <si>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</si>
  <si>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</si>
  <si>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</si>
  <si>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</si>
  <si>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</si>
  <si>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</si>
  <si>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</si>
  <si>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</si>
  <si>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</si>
  <si>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</si>
  <si>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</si>
  <si>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</si>
  <si>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</si>
  <si>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</si>
  <si>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</si>
  <si>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</si>
  <si>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</si>
  <si>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</si>
  <si>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</si>
  <si>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</si>
  <si>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</si>
  <si>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</si>
  <si>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</si>
  <si>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</si>
  <si>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</si>
  <si>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</si>
  <si>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</si>
  <si>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</si>
  <si>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</si>
  <si>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</si>
  <si>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</si>
  <si>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</si>
  <si>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</si>
  <si>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</si>
  <si>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</si>
  <si>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</si>
  <si>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</si>
  <si>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</si>
  <si>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</si>
  <si>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</si>
  <si>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</si>
  <si>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</si>
  <si>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</si>
  <si>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</si>
  <si>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</si>
  <si>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</si>
  <si>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</si>
  <si>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</si>
  <si>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</si>
  <si>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</si>
  <si>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</si>
  <si>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</si>
  <si>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</si>
  <si>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</si>
  <si>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</si>
  <si>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</si>
  <si>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</si>
  <si>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</si>
  <si>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</si>
  <si>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</si>
  <si>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</si>
  <si>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</si>
  <si>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</si>
  <si>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</si>
  <si>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</si>
  <si>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</si>
  <si>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</si>
  <si>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</si>
  <si>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</si>
  <si>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</si>
  <si>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</si>
  <si>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</si>
  <si>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</si>
  <si>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</si>
  <si>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</si>
  <si>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</si>
  <si>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</si>
  <si>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</si>
  <si>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</si>
  <si>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</si>
  <si>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</si>
  <si>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</si>
  <si>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</si>
  <si>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</si>
  <si>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</si>
  <si>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</si>
  <si>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</si>
  <si>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</si>
  <si>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</si>
  <si>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</si>
  <si>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</si>
  <si>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</si>
  <si>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</si>
  <si>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</si>
  <si>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</si>
  <si>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</si>
  <si>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</si>
  <si>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</si>
  <si>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</si>
  <si>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</si>
  <si>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</si>
  <si>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</si>
  <si>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</si>
  <si>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</si>
  <si>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</si>
  <si>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</si>
  <si>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</si>
  <si>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</si>
  <si>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</si>
  <si>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</si>
  <si>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</si>
  <si>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</si>
  <si>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</si>
  <si>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</si>
  <si>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</si>
  <si>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</si>
  <si>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</si>
  <si>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</si>
  <si>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</si>
  <si>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</si>
  <si>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</si>
  <si>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</si>
  <si>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</si>
  <si>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</si>
  <si>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</si>
  <si>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</si>
  <si>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</si>
  <si>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</si>
  <si>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</si>
  <si>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</si>
  <si>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</si>
  <si>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</si>
  <si>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</si>
  <si>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</si>
  <si>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</si>
  <si>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</si>
  <si>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</si>
  <si>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</si>
  <si>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</si>
  <si>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</si>
  <si>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</si>
  <si>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</si>
  <si>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</si>
  <si>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</si>
  <si>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</si>
  <si>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</si>
  <si>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</si>
  <si>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</si>
  <si>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</si>
  <si>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</si>
  <si>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</si>
  <si>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</si>
  <si>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</si>
  <si>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</si>
  <si>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</si>
  <si>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</si>
  <si>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</si>
  <si>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</si>
  <si>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</si>
  <si>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</si>
  <si>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</si>
  <si>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</si>
  <si>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</si>
  <si>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</si>
  <si>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</si>
  <si>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</si>
  <si>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</si>
  <si>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</si>
  <si>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</si>
  <si>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</si>
  <si>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</si>
  <si>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</si>
  <si>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</si>
  <si>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</si>
  <si>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</si>
  <si>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</si>
  <si>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</si>
  <si>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</si>
  <si>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</si>
  <si>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</si>
  <si>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</si>
  <si>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</si>
  <si>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</si>
  <si>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</si>
  <si>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</si>
  <si>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</si>
  <si>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</si>
  <si>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</si>
  <si>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</si>
  <si>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</si>
  <si>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</si>
  <si>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</si>
  <si>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</si>
  <si>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</si>
  <si>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</si>
  <si>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</si>
  <si>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</si>
  <si>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</si>
  <si>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</si>
  <si>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</si>
  <si>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</si>
  <si>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</si>
  <si>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</si>
  <si>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</si>
  <si>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</si>
  <si>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</si>
  <si>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</si>
  <si>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</si>
  <si>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</si>
  <si>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</si>
  <si>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</si>
  <si>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</si>
  <si>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</si>
  <si>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</si>
  <si>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</si>
  <si>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</si>
  <si>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</si>
  <si>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</si>
  <si>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</si>
  <si>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</si>
  <si>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</si>
  <si>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</si>
  <si>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</si>
  <si>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</si>
  <si>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</si>
  <si>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</si>
  <si>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</si>
  <si>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</si>
  <si>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</si>
  <si>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</si>
  <si>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</si>
  <si>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</si>
  <si>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</si>
  <si>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</si>
  <si>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</si>
  <si>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</si>
  <si>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</si>
  <si>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</si>
  <si>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</si>
  <si>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</si>
  <si>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</si>
  <si>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</si>
  <si>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</si>
  <si>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</si>
  <si>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</si>
  <si>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</si>
  <si>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</si>
  <si>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</si>
  <si>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</si>
  <si>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</si>
  <si>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</si>
  <si>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</si>
  <si>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</si>
  <si>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</si>
  <si>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</si>
  <si>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</si>
  <si>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</si>
  <si>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</si>
  <si>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</si>
  <si>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</si>
  <si>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</si>
  <si>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</si>
  <si>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</si>
  <si>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</si>
  <si>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</si>
  <si>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</si>
  <si>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</si>
  <si>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</si>
  <si>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</si>
  <si>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</si>
  <si>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</si>
  <si>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</si>
  <si>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</si>
  <si>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</si>
  <si>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</si>
  <si>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</si>
  <si>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</si>
  <si>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</si>
  <si>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</si>
  <si>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</si>
  <si>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</si>
  <si>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</si>
  <si>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K622128.005</t>
  </si>
  <si>
    <t>K622128.006</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</si>
  <si>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</si>
  <si>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</si>
  <si>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</si>
  <si>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</si>
  <si>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</si>
  <si>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</si>
  <si>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</si>
  <si>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</si>
  <si>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</si>
  <si>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</si>
  <si>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</si>
  <si>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</si>
  <si>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</si>
  <si>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</si>
  <si>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</si>
  <si>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</si>
  <si>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</si>
  <si>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</si>
  <si>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</si>
  <si>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</si>
  <si>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</si>
  <si>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</si>
  <si>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</si>
  <si>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</si>
  <si>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</si>
  <si>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</si>
  <si>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</si>
  <si>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</si>
  <si>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</si>
  <si>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</si>
  <si>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</si>
  <si>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</si>
  <si>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</si>
  <si>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</si>
  <si>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A768056</t>
  </si>
  <si>
    <t>SUDJELOVANJE U INTEREG PROJEKTU - RESINFRA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</si>
  <si>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</si>
  <si>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</si>
  <si>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</si>
  <si>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</si>
  <si>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</si>
  <si>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</si>
  <si>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</si>
  <si>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T733059</t>
  </si>
  <si>
    <t>PREDSJEDANJE REPUBLIKE HRVATSKE EUROPSKOM UNIJOM</t>
  </si>
  <si>
    <t>A679079</t>
  </si>
  <si>
    <t>SVEUČILIŠTE U ZAGREBU - BICRO BIOCentar</t>
  </si>
  <si>
    <t>A679114</t>
  </si>
  <si>
    <t>REDOVNA DJELATNOST SVEUČILIŠTA U SLAVONSKOM BRODU  (IZ EVIDENCIJSKIH PRIHODA)</t>
  </si>
  <si>
    <t>A628090</t>
  </si>
  <si>
    <t>UNAPRJEĐENJE JEDNAKIH MOGUĆNOSTI U OBRAZOVANJU ZA UČENIKE S TEŠKOĆAMA U RAZVOJU</t>
  </si>
  <si>
    <t>A733058</t>
  </si>
  <si>
    <t>STRUČNO USAVRŠAVANJE UČITELJA I NASTAVNIKA TALIJANSKOG JEZIKA</t>
  </si>
  <si>
    <t>K733054</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</si>
  <si>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</si>
  <si>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</si>
  <si>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</si>
  <si>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</si>
  <si>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</si>
  <si>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</si>
  <si>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</si>
  <si>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</si>
  <si>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</si>
  <si>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</si>
  <si>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</si>
  <si>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</si>
  <si>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</si>
  <si>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</si>
  <si>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</si>
  <si>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</si>
  <si>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</si>
  <si>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</si>
  <si>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</si>
  <si>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</si>
  <si>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</si>
  <si>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</si>
  <si>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</si>
  <si>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</si>
  <si>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</si>
  <si>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</si>
  <si>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</si>
  <si>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</si>
  <si>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</si>
  <si>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</si>
  <si>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</si>
  <si>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</si>
  <si>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</si>
  <si>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</si>
  <si>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</si>
  <si>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</si>
  <si>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</si>
  <si>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</si>
  <si>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</si>
  <si>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</si>
  <si>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</si>
  <si>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Povrat zajmova danih neprofitnim organizacijama, građanima i kućanstvima - namjenski</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</si>
  <si>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</si>
  <si>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</si>
  <si>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</si>
  <si>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</si>
  <si>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</si>
  <si>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</si>
  <si>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Tekuće pomoći od institucija i tijela EU - Fond solidarnosti EU</t>
  </si>
  <si>
    <t>Fond solidarnosti EU</t>
  </si>
  <si>
    <t>Kapitalne pomoći od institucija i tijela EU - Fond solidarnosti EU</t>
  </si>
  <si>
    <t>Prihodi od prodanih proizvoda i robe</t>
  </si>
  <si>
    <t xml:space="preserve">Tekuće pomoći od izvanproračunskih korisnika </t>
  </si>
  <si>
    <t>Kapitalne pomoći od izvanproračunskih korisnika</t>
  </si>
  <si>
    <t>576 Fond solidarnosti Europske unije</t>
  </si>
  <si>
    <t xml:space="preserve">ERASMUS+ TRACER </t>
  </si>
  <si>
    <t>A768064</t>
  </si>
  <si>
    <t>Primici od prodaje dionica i udjela u glavnici kreditnih i ostalih fin.institucija izvan jav.sektora</t>
  </si>
  <si>
    <t>Osigurano u 2020.</t>
  </si>
  <si>
    <t>Prijedlog za 
2023.</t>
  </si>
  <si>
    <t>Godina</t>
  </si>
  <si>
    <t>PRIJEDLOG FINANCIJSKOG PLANA ZA 2021. I PROJEKCIJA PLANA ZA 2022. I 2023. GODINU</t>
  </si>
  <si>
    <t>Prijedlog plana 
za 2021.</t>
  </si>
  <si>
    <t>Projekcija plana
za 2022.</t>
  </si>
  <si>
    <t>Projekcija plana 
za 2023.</t>
  </si>
  <si>
    <t>FINANCIJSKI PLAN RASHODA I IZDATAKA ZA 2021. GODINU I PROJEKCIJE ZA 2022. I 2023. GODINU</t>
  </si>
  <si>
    <t>2023.</t>
  </si>
  <si>
    <t>SVEUČILIŠTE J.J.STROSSMAYERA U OSIJEKU - FAKULTET ELEKTROTEHNIKE, RAČUNARSTVA I INFORMACIJSKIH TEHNOLOGIJA OSIJEK</t>
  </si>
  <si>
    <t>SVEUČILIŠTE J.J STROSSMAYERA U OSIJEKU - GRAĐEVINSKI I ARHITEKTONSKI FAKULTET OSIJEK</t>
  </si>
  <si>
    <t>ULICA VLADIMIRA PRELOGA 3</t>
  </si>
  <si>
    <t>SVEUČILIŠTE J.J STROSSMAYERA U OSIJEKU - FAKULTET AGROBIOTEHNIČKIH ZNANOSTI OSIJEK</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</si>
  <si>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</si>
  <si>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</si>
  <si>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</si>
  <si>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</si>
  <si>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</si>
  <si>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</si>
  <si>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</si>
  <si>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</si>
  <si>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</si>
  <si>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</si>
  <si>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</si>
  <si>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</si>
  <si>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</si>
  <si>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</si>
  <si>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</si>
  <si>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</si>
  <si>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SVETOŠIMUNSKA C. 25</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</si>
  <si>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</si>
  <si>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</si>
  <si>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</si>
  <si>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</si>
  <si>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</si>
  <si>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</si>
  <si>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</si>
  <si>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</si>
  <si>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</si>
  <si>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</si>
  <si>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</si>
  <si>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2063 FAKULTET ORGANIZACIJE I INFORMATIKE U VARAŽDINU</t>
  </si>
  <si>
    <t>2102 SVEUČILIŠTE U ZAGREBU - GEOTEHNIČKI FAKULTET</t>
  </si>
  <si>
    <t>43749 MEĐIMURSKO VELEUČILIŠTE U ČAKOVCU</t>
  </si>
  <si>
    <t>2452 SVEUČILIŠTE J.J STROSSMAYERA U OSIJEKU</t>
  </si>
  <si>
    <t>2284 SVEUČILIŠTE J.J STROSSMAYERA U OSIJEKU - EKONOMSKI FAKULTET</t>
  </si>
  <si>
    <t>2313 SVEUČILIŠTE J.J.STROSSMAYERA U OSIJEKU - FAKULTET ELEKTROTEHNIKE, RAČUNARSTVA I INFORMACIJSKIH TEHNOLOGIJA OSIJEK</t>
  </si>
  <si>
    <t>2321 SVEUČILIŠTE J.J STROSSMAYERA U OSIJEKU - FILOZOFSKI FAKULTET</t>
  </si>
  <si>
    <t>2508 SVEUČILIŠTE J.J.STROSSMAYERA U OSIJEKU - GRADSKA I SVEUČILIŠNA KNJIŽNICA</t>
  </si>
  <si>
    <t>2250 SVEUČILIŠTE J.J STROSSMAYERA U OSIJEKU - GRAĐEVINSKI I ARHITEKTONSKI FAKULTET OSIJEK</t>
  </si>
  <si>
    <t>22849 SVEUČILIŠTE J.J STROSSMAYERA U OSIJEKU - MEDICINSKI FAKULTET</t>
  </si>
  <si>
    <t>2268 SVEUČILIŠTE J.J STROSSMAYERA U OSIJEKU - FAKULTET AGROBIOTEHNIČKIH ZNANOSTI OSIJEK</t>
  </si>
  <si>
    <t>2292 SVEUČILIŠTE J.J STROSSMAYERA U OSIJEKU - PRAVNI FAKULTET</t>
  </si>
  <si>
    <t>2276 SVEUČILIŠTE J.J STROSSMAYERA U OSIJEKU - PREHRAMBENO TEHNOLOŠKI FAKULTET</t>
  </si>
  <si>
    <t>22486 SVEUČILIŠTE J.J STROSSMAYERA U OSIJEKU - FAKULTET ZA ODGOJNE I OBRAZOVNE ZNANOSTI</t>
  </si>
  <si>
    <t>50215 SVEUČILIŠTE J.J.STROSSMAYERA U OSIJEKU - AKADEMIJA ZA UMJETNOST I KULTURU U OSIJEKU</t>
  </si>
  <si>
    <t>38479 SVEUČILIŠTE J.J.STROSSMAYERA U OSIJEKU - KATOLIČKI BOGOSLOVNI FAKULTET U ĐAKOVU</t>
  </si>
  <si>
    <t>49796 SVEUČILIŠTE J.J.STROSSMAYERA U OSIJEKU - FAKULTET ZA DENTALNU MEDICINU I ZDRAVSTVO</t>
  </si>
  <si>
    <t>51360 SVEUČILIŠTE U SLAVONSKOM BRODU</t>
  </si>
  <si>
    <t>42024 SVEUČILIŠTE JURJA DOBRILE U PULI</t>
  </si>
  <si>
    <t>48267 SVEUČILIŠTE SJEVER</t>
  </si>
  <si>
    <t>24141 SVEUČILIŠTE U DUBROVNIKU</t>
  </si>
  <si>
    <t>2444 SVEUČILIŠTE U RIJECI</t>
  </si>
  <si>
    <t>38454 SVEUČILIŠTE U RIJECI - AKADEMIJA PRIMJENJENIH UMJETNOSTI</t>
  </si>
  <si>
    <t>2186 SVEUČILIŠTE U RIJECI - EKONOMSKI FAKULTET</t>
  </si>
  <si>
    <t>2194 SVEUČILIŠTE U RIJECI - FAKULTET ZA MENADŽMENT U TURIZMU I UGOSTITELJSTVU</t>
  </si>
  <si>
    <t>22857 SVEUČILIŠTE U RIJECI - FILOZOFSKI FAKULTET</t>
  </si>
  <si>
    <t>2160 SVEUČILIŠTE U RIJECI - GRAĐEVINSKI FAKULTET</t>
  </si>
  <si>
    <t>2225 SVEUČILIŠTE U RIJECI - MEDICINSKI FAKULTET</t>
  </si>
  <si>
    <t>22568 SVEUČILIŠTE U RIJECI - POMORSKI FAKULTET</t>
  </si>
  <si>
    <t>2217 SVEUČILIŠTE U RIJECI - PRAVNI FAKULTET</t>
  </si>
  <si>
    <t>2493 SVEUČILIŠTE U RIJECI - SVEUČILIŠNA KNJIŽNICA</t>
  </si>
  <si>
    <t>2151 SVEUČILIŠTE U RIJECI - TEHNIČKI FAKULTET</t>
  </si>
  <si>
    <t>40947 SVEUČILIŠTE U RIJECI - UČITELJSKI FAKULTET</t>
  </si>
  <si>
    <t>48023 SVEUČILIŠTE U RIJECI - FAKULTET ZDRAVSTVENIH STUDIJA U RIJECI</t>
  </si>
  <si>
    <t>2469 SVEUČILIŠTE U SPLITU</t>
  </si>
  <si>
    <t>2372 SVEUČILIŠTE U SPLITU - EKONOMSKI FAKULTET</t>
  </si>
  <si>
    <t>2330 SVEUČILIŠTE U SPLITU - FAKULTET ELEKTROTEHNIKE, STROJARSTVA I BRODOGRADNJE</t>
  </si>
  <si>
    <t>22435 SVEUČILIŠTE U SPLITU - FILOZOFSKI FAKULTET</t>
  </si>
  <si>
    <t>2348 SVEUČILIŠTE U SPLITU - FAKULTET GRAĐEVINARSTVA, ARHITEKTURE I GEODEZIJE</t>
  </si>
  <si>
    <t>2356 SVEUČILIŠTE U SPLITU - KEMIJSKO-TEHNOLOŠKI FAKULTET</t>
  </si>
  <si>
    <t>43773 SVEUČILIŠTE U SPLITU - KINEZIOLOŠKI FAKULTET</t>
  </si>
  <si>
    <t>23368 SVEUČILIŠTE U SPLITU - KATOLIČKI BOGOSLOVNI FAKULTET</t>
  </si>
  <si>
    <t>22451 SVEUČILIŠTE U SPLITU - MEDICINSKI FAKULTET</t>
  </si>
  <si>
    <t>22460 SVEUČILIŠTE U SPLITU - POMORSKI FAKULTET</t>
  </si>
  <si>
    <t>2397 SVEUČILIŠTE U SPLITU - PRAVNI FAKULTET</t>
  </si>
  <si>
    <t>2410 SVEUČILIŠTE U SPLITU - PRIRODOSLOVNO - MATEMATIČKI FAKULTET</t>
  </si>
  <si>
    <t>2524 SVEUČILIŠTE U SPLITU - SVEUČILIŠNA KNJIŽNICA</t>
  </si>
  <si>
    <t>22478 SVEUČILIŠTE U SPLITU - UMJETNIČKA AKADEMIJA</t>
  </si>
  <si>
    <t>23815 SVEUČILIŠTE U ZADRU</t>
  </si>
  <si>
    <t>2436 SVEUČILIŠTE U ZAGREBU</t>
  </si>
  <si>
    <t>1923 SVEUČILIŠTE U ZAGREBU - AGRONOMSKI FAKULTET</t>
  </si>
  <si>
    <t>1974 SVEUČILIŠTE U ZAGREBU - AKADEMIJA DRAMSKE UMJETNOSTI</t>
  </si>
  <si>
    <t>1982 SVEUČILIŠTE U ZAGREBU - AKADEMIJA LIKOVNIH UMJETNOSTI</t>
  </si>
  <si>
    <t xml:space="preserve">1861 SVEUČILIŠTE U ZAGREBU - ARHITEKTONSKI FAKULTET </t>
  </si>
  <si>
    <t xml:space="preserve">1966 SVEUČILIŠTE U ZAGREBU - EDUKACIJSKO-REHABILITACIJSKI FAKULTET </t>
  </si>
  <si>
    <t>1931 SVEUČILIŠTE U ZAGREBU - EKONOMSKI FAKULTET</t>
  </si>
  <si>
    <t>1757 SVEUČILIŠTE U ZAGREBU - FAKULTET ELEKTROTEHNIKE I RAČUNARSTVA</t>
  </si>
  <si>
    <t>6154 SVEUČILIŠTE U ZAGREBU - FAKULTET FILOZOFIJE I RELIGIJSKIH ZNANOSTI</t>
  </si>
  <si>
    <t xml:space="preserve">2135 SVEUČILIŠTE U ZAGREBU - KATOLIČKI BOGOSLOVNI FAKULTET </t>
  </si>
  <si>
    <t>51191 SVEUČILIŠTE U ZAGREBU - FAKULTET HRVATSKIH STUDIJA</t>
  </si>
  <si>
    <t>1790 SVEUČILIŠTE U ZAGREBU - FAKULTET KEMIJSKOG INŽENJERSTVA I TEHNOLOGIJE</t>
  </si>
  <si>
    <t>1907 SVEUČILIŠTE U ZAGREBU - FAKULTET POLITIČKIH ZNANOSTI</t>
  </si>
  <si>
    <t>1812 SVEUČILIŠTE U ZAGREBU - FAKULTET PROMETNIH ZNANOSTI</t>
  </si>
  <si>
    <t>1829 SVEUČILIŠTE U ZAGREBU - FAKULTET STROJARSTVA I BRODOGRADNJE</t>
  </si>
  <si>
    <t xml:space="preserve">2014 SVEUČILIŠTE U ZAGREBU - FARMACEUTSKO-BIOKEMIJSKI FAKULTET </t>
  </si>
  <si>
    <t>1958 SVEUČILIŠTE U ZAGREBU - FILOZOFSKI FAKULTET</t>
  </si>
  <si>
    <t>1853 SVEUČILIŠTE U ZAGREBU - GEODETSKI FAKULTET</t>
  </si>
  <si>
    <t>1837 SVEUČILIŠTE U ZAGREBU - GRAĐEVINSKI FAKULTET</t>
  </si>
  <si>
    <t>2080 SVEUČILIŠTE U ZAGREBU - GRAFIČKI FAKULTET</t>
  </si>
  <si>
    <t>2006 SVEUČILIŠTE U ZAGREBU - KINEZIOLOŠKI FAKULTET</t>
  </si>
  <si>
    <t>1888 SVEUČILIŠTE U ZAGREBU - MEDICINSKI FAKULTET</t>
  </si>
  <si>
    <t>2071 SVEUČILIŠTE U ZAGREBU - METALURŠKI FAKULTET SISAK</t>
  </si>
  <si>
    <t>1999 SVEUČILIŠTE U ZAGREBU - MUZIČKA AKADEMIJA</t>
  </si>
  <si>
    <t>1915 SVEUČILIŠTE U ZAGREBU - PRAVNI FAKULTET</t>
  </si>
  <si>
    <t>1845 SVEUČILIŠTE U ZAGREBU - PREHRAMBENO BIOTEHNOLOŠKI FAKULTET</t>
  </si>
  <si>
    <t>1781 SVEUČILIŠTE U ZAGREBU - PRIRODOSLOVNO-MATEMATIČKI FAKULTET</t>
  </si>
  <si>
    <t>2047 SVEUČILIŠTE U ZAGREBU - RUDARSKO-GEOLOŠKO-NAFTNI FAKULTET</t>
  </si>
  <si>
    <t>1870 SVEUČILIŠTE U ZAGREBU - STOMATOLOŠKI FAKULTET</t>
  </si>
  <si>
    <t>1896 SVEUČILIŠTE U ZAGREBU - ŠUMARSKI FAKULTET</t>
  </si>
  <si>
    <t>1804 SVEUČILIŠTE U ZAGREBU - TEKSTILNO TEHNOLOŠKI FAKULTET</t>
  </si>
  <si>
    <t>1940 SVEUČILIŠTE U ZAGREBU - UČITELJSKI FAKULTET</t>
  </si>
  <si>
    <t>2022 SVEUČILIŠTE U ZAGREBU - VETERINARSKI FAKULTET</t>
  </si>
  <si>
    <t>22427 TEHNIČKO VELEUČILIŠTE U ZAGREBU</t>
  </si>
  <si>
    <t>38446 VELEUČILIŠTE LAVOSLAV RUŽIČKA U VUKOVARU</t>
  </si>
  <si>
    <t>38438 VELEUČILIŠTE MARKO MARULIĆ U KNINU</t>
  </si>
  <si>
    <t>41185 VELEUČILIŠTE NIKOLA TESLA U GOSPIĆU</t>
  </si>
  <si>
    <t>21053 VELEUČILIŠTE U KARLOVCU</t>
  </si>
  <si>
    <t>22398 VELEUČILIŠTE U POŽEGI</t>
  </si>
  <si>
    <t>22494 VELEUČILIŠTE U RIJECI</t>
  </si>
  <si>
    <t>22824 VELEUČILIŠTE U ŠIBENIKU</t>
  </si>
  <si>
    <t>50848 VELEUČILIŠTE HRVATSKO ZAGORJE KRAPINA</t>
  </si>
  <si>
    <t>42993 VISOKA ŠKOLA ZA MENEDŽMENT U TURIZMU I INFORMATICI</t>
  </si>
  <si>
    <t>22371 VISOKO GOSPODARSKO UČILIŠTE U KRIŽEVCIMA</t>
  </si>
  <si>
    <t>22832 ZDRAVSTVENO VELEUČILIŠTE</t>
  </si>
  <si>
    <t>2918 EKONOMSKI INSTITUT ZAGREB</t>
  </si>
  <si>
    <t>2934 HRVATSKI INSTITUT ZA POVIJEST</t>
  </si>
  <si>
    <t>2983 HRVATSKI VETERINARSKI INSTITUT</t>
  </si>
  <si>
    <t>3105 INSTITUT DRUŠTVENIH ZNANOSTI IVO PILAR</t>
  </si>
  <si>
    <t>3041 INSTITUT RUĐER BOŠKOVIĆ</t>
  </si>
  <si>
    <t>3113 INSTITUT ZA ANTROPOLOGIJU</t>
  </si>
  <si>
    <t>3121 INSTITUT ZA ARHEOLOGIJU</t>
  </si>
  <si>
    <t>3050 INSTITUT ZA DRUŠTVENA ISTRAŽIVANJA</t>
  </si>
  <si>
    <t>3084 INSTITUT ZA ETNOLOGIJU I FOLKLORISTIKU</t>
  </si>
  <si>
    <t>3092 INSTITUT ZA FILOZOFIJU</t>
  </si>
  <si>
    <t>2975 INSTITUT ZA FIZIKU</t>
  </si>
  <si>
    <t xml:space="preserve">22525 HRVATSKI GEOLOŠKI INSTITUT </t>
  </si>
  <si>
    <t>21061 INSTITUT ZA HRVATSKI JEZIK I JEZIKOSLOVLJE</t>
  </si>
  <si>
    <t>3025 INSTITUT ZA JADRANSKE KULTURE I MELIORACIJU KRŠA</t>
  </si>
  <si>
    <t>23286 INSTITUT ZA JAVNE FINANCIJE</t>
  </si>
  <si>
    <t>2959 INSTITUT ZA MEDICINSKA ISTRAŽIVANJA I MEDICINU RADA</t>
  </si>
  <si>
    <t>22621 INSTITUT ZA RAZVOJ I MEĐUNARODNE ODNOSE</t>
  </si>
  <si>
    <t>3009 INSTITUT ZA MIGRACIJE I NARODNOSTI</t>
  </si>
  <si>
    <t>2900 INSTITUT ZA OCEANOGRAFIJU I RIBARSTVO</t>
  </si>
  <si>
    <t>3076 INSTITUT ZA POLJOPRIVREDU I TURIZAM</t>
  </si>
  <si>
    <t>2942 INSTITUT ZA POVIJEST UMJETNOSTI</t>
  </si>
  <si>
    <t>3068 INSTITUT ZA TURIZAM</t>
  </si>
  <si>
    <t>2991 POLJOPRIVREDNI INSTITUT OSIJEK</t>
  </si>
  <si>
    <t>21070 STAROSLAVENSKI INSTITUT</t>
  </si>
  <si>
    <t>2967 HRVATSKI ŠUMARSKI INSTITUT</t>
  </si>
  <si>
    <t>6179 DRŽAVNI ZAVOD ZA INTELEKTUALNO VLASNIŠTVO</t>
  </si>
  <si>
    <t>21836 NACIONALNA I SVEUČILIŠNA KNJIŽNICA U ZAGREBU</t>
  </si>
  <si>
    <t>21852 HRVATSKA AKADEMSKA I ISTRAŽIVAČKA MREŽA - CARNET</t>
  </si>
  <si>
    <t>21869 LEKSIKOGRAFSKI ZAVOD MIROSLAV KRLEŽA</t>
  </si>
  <si>
    <t>23665 SVEUČILIŠTE U ZAGREBU - SVEUČILIŠNI RAČUNSKI CENTAR - SRCE</t>
  </si>
  <si>
    <t>23962 AGENCIJA ZA ODGOJ I OBRAZOVANJE</t>
  </si>
  <si>
    <t>38487 AGENCIJA ZA ZNANOST I VISOKO OBRAZOVANJE</t>
  </si>
  <si>
    <t>40883 NACIONALNI CENTAR ZA VANJSKO VREDNOVANJE OBRAZOVANJA</t>
  </si>
  <si>
    <t>43335 AGENCIJA ZA MOBILNOST I PROGRAME EUROPSKE UNIJE</t>
  </si>
  <si>
    <t>46173 AGENCIJA ZA STRUKOVNO OBRAZOVANJE I OBRAZOVANJE ODRASLIH</t>
  </si>
  <si>
    <t>1222 MINISTARSTVO ZNANOSTI I OBRAZOVANJA</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</si>
  <si>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</si>
  <si>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</si>
  <si>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</si>
  <si>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</si>
  <si>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</si>
  <si>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SVEUČILIŠTE U SPLITU (IZ EVIDENCIJSKIH PRIHODA)</t>
  </si>
  <si>
    <t>EU PROJEKTI SVEUČILIŠTE U ZAGREBU (IZ EVIDENCIJSKIH PRIHODA)</t>
  </si>
  <si>
    <t>EU PROJEKTI SVEUČILIŠTA SJEVER (IZ EVIDENCIJSKIH PRIHODA)</t>
  </si>
  <si>
    <t>EU PROJEKTI SVEUČILIŠTA SLAVONSKOM BRODU (IZ EVIDENCIJSKIH PRIHODA)</t>
  </si>
  <si>
    <t>EU PROJEKTI JAVNIH INSTITUTA (IZ EVIDENCIJSKIH PRIHODA)</t>
  </si>
  <si>
    <t>A679115</t>
  </si>
  <si>
    <t>Dopušteni izvor</t>
  </si>
  <si>
    <t>671-izvor 11</t>
  </si>
  <si>
    <t>671-izvor 12</t>
  </si>
  <si>
    <t>Tekuće pomoći od HZMO-a, HZZ-a i HZZO-a</t>
  </si>
  <si>
    <t>Tekuće pomoći od ostalih izvanproračunskih korisnika državnog proračuna</t>
  </si>
  <si>
    <t>Tekuće pomoći od izvanproračunskih korisnika županijskih, gradskih i općinskih proračuna</t>
  </si>
  <si>
    <t>Kapitalne pomoći od HZMO-a, HZZ-a i HZZO-a</t>
  </si>
  <si>
    <t>Kapitalne pomoći od ostalih izvanproračunskih korisnika državnog proračuna</t>
  </si>
  <si>
    <t>Kapitalne pomoći od izvanproračunskih korisnika županijskih, gradskih i općinskih proračuna</t>
  </si>
  <si>
    <t>Prihodi od prodanih proizvoda</t>
  </si>
  <si>
    <t>Prihodi od prodaje robe</t>
  </si>
  <si>
    <t>Unos</t>
  </si>
  <si>
    <t>Europski fond za regionalni razvoj (EFRR)</t>
  </si>
  <si>
    <t>Tekuće pomoći od institucija i tijela EU - ESF</t>
  </si>
  <si>
    <t>Tekuće pomoći od institucija i tijela EU - EFRR</t>
  </si>
  <si>
    <t>Kapitalne pomoći od institucija i tijela EU - ESF</t>
  </si>
  <si>
    <t>Kapitalne pomoći od institucija i tijela EU - EFRR</t>
  </si>
  <si>
    <t>RURASL Rural 3.0: Service Learning for the Rural Development</t>
  </si>
  <si>
    <t>MARCELL - Multilingual Resources for CEF.AT in the legal domain</t>
  </si>
  <si>
    <t>FOCUS - Forced displacement and refugee-host community solidarity</t>
  </si>
  <si>
    <t>CLEOPATRA - Cross-lingual Event-centric Open Analytics Research Academy</t>
  </si>
  <si>
    <t>Providing Resources in Irish, Norwegian, Croatian and Icelandic for Purposes of Language Engineering – PRINCIPLE</t>
  </si>
  <si>
    <t xml:space="preserve">IRCiS Integrating refugee children in schools: a mixed-method study on the efficacy of contact-in-school intervention for building positive intergroup relations among refugee and host-socitey children </t>
  </si>
  <si>
    <t>Translation Automation Services for EU Council Presidency</t>
  </si>
  <si>
    <t>1.2.2019.</t>
  </si>
  <si>
    <t>31.12.2021.</t>
  </si>
  <si>
    <t>1.10.2019.</t>
  </si>
  <si>
    <t>30.9.2021.</t>
  </si>
  <si>
    <t>15.8.2018.</t>
  </si>
  <si>
    <t>14.2.2020.</t>
  </si>
  <si>
    <t>1.1.2019.</t>
  </si>
  <si>
    <t>1.1.2021.</t>
  </si>
  <si>
    <t>1.1.2023.</t>
  </si>
  <si>
    <t>1.9.2019.</t>
  </si>
  <si>
    <t>31.8.2021.</t>
  </si>
  <si>
    <t>31.8.2023.</t>
  </si>
  <si>
    <t>30.6.2020.</t>
  </si>
  <si>
    <t>Lamaro digital d.o.o.</t>
  </si>
  <si>
    <t>Research Institute for Linguistics of the Hungarian Academy of Sciences (RILMTA), Hungary</t>
  </si>
  <si>
    <t>Comenius University in Bratislava</t>
  </si>
  <si>
    <t>The Danish Red Cross</t>
  </si>
  <si>
    <t>Gottfried Wilhelm Leibniz Universität Hannover</t>
  </si>
  <si>
    <t>ADAPT CENTRE School of Computing Dublin City University</t>
  </si>
  <si>
    <t xml:space="preserve">Hrvatsko-švicarski istraživački program HRZZ i Swiss national Science Foundation </t>
  </si>
  <si>
    <t xml:space="preserve"> tvrtka Tilde </t>
  </si>
  <si>
    <t>Projekt E-rudito omogućit će izlazak prijavitelja na globalna tržišta putem ulaganja u istraživanje i razvoj proizvoda u području online obrazovanja primijenjenog na S3 strategije. Time će se potaknuti i razvoj stručnog kadra bolje usklađenog s potrebama tržišta rada te razvoj novi poslovnih ideja, inovativnih proizvoda i radnih mjesta.</t>
  </si>
  <si>
    <t>The present proposal focuses on the body of national legislation (laws, decrees, regulations) in the seven countries making up the consortium: Bulgaria, Croatia, Hungary, Poland, Romania, Slovakia and Slovenia. We start from the premise that at present national legislation texts are not automatically available to CEF.AT and present MT systems could be improved if they had access to national legislative texts. Furthermore, technological advances in MT technology emphasizes the need for clean, validated domain-specific datasets. Groundbreaking MT research results reported at this year’s WMT Competition employed back-translated training data, which underscores the relevance and importance of domain-specific monolingual corpora for MT technology.</t>
  </si>
  <si>
    <t xml:space="preserve">The aim of the project is to commemorate the events of the Prague Spring which rocked the Iron Curtain and being generally perceived as a symbol of the efforts for democracy and the struggle for European values were suffocated by the Warsaw pact invasion in Czechoslovakia. The project activities suppose engagement of approx. 250 direct participants and are focused on two major outcomes: building a records collection „The Prague spring retold by forgotten eye-witnesses“ and organizing an exhibition „A Game-changing Year: Czechoslovakia Before and After the August '68“ </t>
  </si>
  <si>
    <t>This project starts from the basic assumptions that forced migration to the European Union will continue in the future due to a number of different push and pull factors, that influx of refugees will influence the social, political and economic landscape of receiving societies, and that there are a variety of costs and benefits of integrating refugees in the host societies that are reflected in relational dynamics between the host and refugee communities. </t>
  </si>
  <si>
    <t>The CLEOPATRA ITN, a Marie Skłodowska-Curie Innovative Training Network led by the L3S Research Center at the Gottfried Wilhelm Leibniz University of Hannover, aims to make sense of the massive digital coverage generated by the intense disruption in Europe over the past decade – including appalling terrorist incidents and the dramatic movement of refugees and economic migrants.</t>
  </si>
  <si>
    <t>PRINCIPLE is a new 2-year project start-ing in September 2019 funded by the Eu-ropean Commission under the Connecting Europe Facility (CEF) programme.Paral-lel data for Croatian, Icelandic, Irish and Norwegianare in relatively short supply, so that the quality of the eTranslation ma-chine translation (MT) enginesis less than would be the case if larger parallel corpora were available. PRINCIPLE will gather parallel data for these languages and Eng-lish, evaluate the quality of the gathered resources via MT, and deliver corpora deemed to be of high quality to eTransla-tionfor improved MT engine training.</t>
  </si>
  <si>
    <t>Projekt se bavi integracijom ranjive skupine djece - tražitelja azila, azilanata i stranaca pod supsidijarnom zaštitom  - u hrvatske onovne škole.</t>
  </si>
  <si>
    <t>The EU Council Presidency Translator is a multilingual communication tool that enables delegates, journalists, translators, and visitors to cross language barriers and access information during the Presidency of the Council of the EU in 2019-2020.</t>
  </si>
  <si>
    <t>HILAR</t>
  </si>
  <si>
    <t>31.8.2022.</t>
  </si>
  <si>
    <t>Zagreb, 16.10.2020</t>
  </si>
  <si>
    <t>Edo Junačko, Služba za financije</t>
  </si>
  <si>
    <t>01 4092 021</t>
  </si>
  <si>
    <t>ejunacko@ffzg.hr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</si>
</sst>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kn&quot;;[Red]\-#,##0.00\ &quot;kn&quot;"/>
    <numFmt numFmtId="164" formatCode="_-* #,##0.00_-;\-* #,##0.00_-;_-* &quot;-&quot;??_-;_-@_-"/>
    <numFmt numFmtId="165" formatCode="dd/mm/yy/;@"/>
    <numFmt numFmtId="166" formatCode="#,##0_ ;\-#,##0\ "/>
    <numFmt numFmtId="167" formatCode="#&quot;.&quot;"/>
    <numFmt numFmtId="168" formatCode="00000000"/>
    <numFmt numFmtId="169" formatCode="&quot;- &quot;@"/>
    <numFmt numFmtId="170" formatCode="&quot;+ &quot;@"/>
  </numFmts>
  <fonts count="71">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9"/>
      <name val="Arial"/>
      <family val="2"/>
    </font>
    <font>
      <sz val="11"/>
      <name val="Calibri"/>
      <family val="2"/>
      <scheme val="minor"/>
    </font>
  </fonts>
  <fills count="5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s>
  <borders count="54">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s>
  <cellStyleXfs count="79">
    <xf numFmtId="0" fontId="0" fillId="0" borderId="0"/>
    <xf numFmtId="164"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164" fontId="23" fillId="0" borderId="0" applyFont="0" applyFill="0" applyBorder="0" applyAlignment="0" applyProtection="0"/>
    <xf numFmtId="0" fontId="24" fillId="21" borderId="0"/>
  </cellStyleXfs>
  <cellXfs count="339">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5"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0" fontId="4" fillId="12" borderId="5" xfId="2" applyFont="1" applyFill="1" applyBorder="1" applyAlignment="1" applyProtection="1">
      <alignment horizontal="center" vertical="center" wrapText="1"/>
    </xf>
    <xf numFmtId="0" fontId="4" fillId="12" borderId="5" xfId="2" applyNumberFormat="1" applyFont="1" applyFill="1" applyBorder="1" applyAlignment="1" applyProtection="1">
      <alignment horizontal="center" vertical="center" wrapText="1"/>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8"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1" fontId="16" fillId="12" borderId="5" xfId="2" applyNumberFormat="1" applyFont="1" applyFill="1" applyBorder="1" applyAlignment="1" applyProtection="1">
      <alignment horizontal="center" vertical="center" wrapText="1"/>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169" fontId="13" fillId="18" borderId="1" xfId="14" quotePrefix="1" applyNumberFormat="1" applyFill="1" applyAlignment="1">
      <alignment horizontal="left" vertical="center" indent="3" justifyLastLine="1"/>
    </xf>
    <xf numFmtId="169" fontId="13" fillId="18" borderId="1" xfId="15" quotePrefix="1" applyNumberFormat="1" applyFill="1" applyAlignment="1">
      <alignment horizontal="left" vertical="center" indent="4" justifyLastLine="1"/>
    </xf>
    <xf numFmtId="170" fontId="13" fillId="0" borderId="1" xfId="16" quotePrefix="1" applyNumberFormat="1" applyFill="1" applyAlignment="1">
      <alignment horizontal="left" vertical="center" indent="5" justifyLastLine="1"/>
    </xf>
    <xf numFmtId="0" fontId="13" fillId="0" borderId="1" xfId="16" quotePrefix="1" applyFill="1" applyAlignment="1">
      <alignment horizontal="left" vertical="center" wrapText="1" indent="1" justifyLastLine="1"/>
    </xf>
    <xf numFmtId="0" fontId="13" fillId="18" borderId="1" xfId="15" quotePrefix="1" applyFill="1" applyAlignment="1">
      <alignment horizontal="left" vertical="center" wrapText="1" indent="1" justifyLastLine="1"/>
    </xf>
    <xf numFmtId="0" fontId="13" fillId="18" borderId="1" xfId="14" quotePrefix="1" applyFill="1" applyAlignment="1">
      <alignment horizontal="left" vertical="center" wrapText="1" indent="1" justifyLastLine="1"/>
    </xf>
    <xf numFmtId="49" fontId="11" fillId="0" borderId="6" xfId="2" applyNumberFormat="1" applyFont="1" applyFill="1" applyBorder="1" applyAlignment="1" applyProtection="1">
      <alignment horizontal="left"/>
    </xf>
    <xf numFmtId="0" fontId="5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13" fillId="18" borderId="1" xfId="14" quotePrefix="1" applyFill="1">
      <alignment horizontal="left" vertical="center" indent="1" justifyLastLine="1"/>
    </xf>
    <xf numFmtId="0" fontId="13" fillId="18" borderId="1" xfId="15" quotePrefix="1" applyFill="1">
      <alignment horizontal="left" vertical="center" indent="1" justifyLastLine="1"/>
    </xf>
    <xf numFmtId="0" fontId="0" fillId="55" borderId="0" xfId="0" applyFill="1"/>
    <xf numFmtId="0" fontId="63" fillId="55" borderId="0" xfId="0" applyFont="1" applyFill="1"/>
    <xf numFmtId="0" fontId="13" fillId="3" borderId="1" xfId="75" quotePrefix="1" applyAlignment="1">
      <alignment horizontal="left" vertical="center" indent="2"/>
    </xf>
    <xf numFmtId="0" fontId="13" fillId="3" borderId="1" xfId="75" quotePrefix="1">
      <alignment horizontal="left" vertical="center" indent="1"/>
    </xf>
    <xf numFmtId="0" fontId="13" fillId="0" borderId="1" xfId="14" quotePrefix="1" applyFill="1" applyAlignment="1">
      <alignment horizontal="left" vertical="center" indent="1" justifyLastLine="1"/>
    </xf>
    <xf numFmtId="0" fontId="13" fillId="8" borderId="1" xfId="14" quotePrefix="1" applyAlignment="1">
      <alignment horizontal="left" vertical="center" indent="3"/>
    </xf>
    <xf numFmtId="0" fontId="13" fillId="8" borderId="1" xfId="14" quotePrefix="1" applyAlignment="1">
      <alignment horizontal="left" vertical="center" indent="1"/>
    </xf>
    <xf numFmtId="0" fontId="13" fillId="2" borderId="1" xfId="15" quotePrefix="1" applyAlignment="1">
      <alignment horizontal="left" vertical="center" indent="4"/>
    </xf>
    <xf numFmtId="0" fontId="13" fillId="2" borderId="1" xfId="15" quotePrefix="1" applyAlignment="1">
      <alignment horizontal="left" vertical="center" indent="1"/>
    </xf>
    <xf numFmtId="0" fontId="13" fillId="2" borderId="1" xfId="15" quotePrefix="1" applyFont="1" applyAlignment="1">
      <alignment horizontal="left" vertical="center" indent="4"/>
    </xf>
    <xf numFmtId="0" fontId="13" fillId="2" borderId="1" xfId="15" quotePrefix="1" applyFont="1" applyAlignment="1">
      <alignment horizontal="left" vertical="center" indent="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8" fontId="55" fillId="0" borderId="51" xfId="0" applyNumberFormat="1" applyFont="1" applyFill="1" applyBorder="1" applyAlignment="1">
      <alignment horizontal="center" vertical="center"/>
    </xf>
    <xf numFmtId="167"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8" fontId="55" fillId="0" borderId="51" xfId="74" applyNumberFormat="1" applyFont="1" applyFill="1" applyBorder="1" applyAlignment="1">
      <alignment horizontal="center" vertical="center"/>
    </xf>
    <xf numFmtId="168" fontId="55" fillId="0" borderId="51" xfId="0" quotePrefix="1" applyNumberFormat="1" applyFont="1" applyFill="1" applyBorder="1" applyAlignment="1">
      <alignment horizontal="center" vertical="center"/>
    </xf>
    <xf numFmtId="0" fontId="55" fillId="0" borderId="51" xfId="0" applyFont="1" applyFill="1" applyBorder="1" applyAlignment="1"/>
    <xf numFmtId="168"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55" fillId="0" borderId="6" xfId="0" applyFont="1" applyFill="1" applyBorder="1" applyAlignment="1">
      <alignmen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0" fillId="0" borderId="0" xfId="0" applyFill="1" applyBorder="1" applyAlignment="1">
      <alignment horizontal="left"/>
    </xf>
    <xf numFmtId="0" fontId="55" fillId="0" borderId="0" xfId="0" applyFont="1" applyFill="1" applyBorder="1" applyAlignment="1">
      <alignment horizontal="left" vertical="center" wrapText="1"/>
    </xf>
    <xf numFmtId="0" fontId="69" fillId="0" borderId="0" xfId="0" applyNumberFormat="1" applyFont="1" applyFill="1" applyBorder="1" applyAlignment="1" applyProtection="1">
      <alignment horizontal="left" vertical="center"/>
      <protection hidden="1"/>
    </xf>
    <xf numFmtId="0" fontId="55" fillId="0" borderId="0" xfId="0" applyFont="1" applyFill="1" applyBorder="1" applyAlignment="1">
      <alignment horizontal="center" vertical="center" wrapText="1"/>
    </xf>
    <xf numFmtId="0" fontId="69" fillId="0" borderId="0" xfId="0" applyNumberFormat="1" applyFont="1" applyFill="1" applyAlignment="1">
      <alignment horizontal="center"/>
    </xf>
    <xf numFmtId="0" fontId="69" fillId="0" borderId="0" xfId="0" applyNumberFormat="1" applyFont="1" applyFill="1" applyAlignment="1">
      <alignment horizontal="left"/>
    </xf>
    <xf numFmtId="0" fontId="55" fillId="0" borderId="0" xfId="0" applyFont="1" applyFill="1" applyBorder="1" applyAlignment="1">
      <alignment horizontal="left" vertical="center"/>
    </xf>
    <xf numFmtId="0" fontId="69" fillId="0" borderId="0" xfId="0" applyNumberFormat="1" applyFont="1" applyAlignment="1">
      <alignment horizontal="center"/>
    </xf>
    <xf numFmtId="0" fontId="69" fillId="0" borderId="0" xfId="0" applyNumberFormat="1" applyFont="1" applyAlignment="1">
      <alignment horizontal="left"/>
    </xf>
    <xf numFmtId="0" fontId="43" fillId="0" borderId="0" xfId="0" applyNumberFormat="1" applyFont="1" applyAlignment="1">
      <alignment horizontal="center"/>
    </xf>
    <xf numFmtId="0" fontId="43" fillId="0" borderId="0" xfId="0" applyNumberFormat="1" applyFont="1" applyAlignment="1">
      <alignment horizontal="left"/>
    </xf>
    <xf numFmtId="0" fontId="55" fillId="0" borderId="0" xfId="0" applyFont="1" applyFill="1" applyBorder="1" applyAlignment="1">
      <alignment horizontal="left" vertical="center" wrapText="1" indent="1"/>
    </xf>
    <xf numFmtId="0" fontId="70" fillId="0" borderId="0" xfId="0" applyFont="1"/>
    <xf numFmtId="0" fontId="70" fillId="0" borderId="0" xfId="0" applyFont="1" applyAlignment="1">
      <alignment horizontal="center"/>
    </xf>
    <xf numFmtId="0" fontId="70"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49" fontId="69" fillId="0" borderId="0" xfId="0" applyNumberFormat="1" applyFont="1" applyFill="1" applyBorder="1" applyAlignment="1" applyProtection="1">
      <alignment horizontal="left" vertical="center"/>
      <protection hidden="1"/>
    </xf>
    <xf numFmtId="0" fontId="55" fillId="0" borderId="0" xfId="0" applyNumberFormat="1" applyFont="1" applyFill="1" applyBorder="1" applyAlignment="1">
      <alignment horizontal="left" vertical="center" wrapText="1"/>
    </xf>
    <xf numFmtId="0" fontId="55" fillId="0" borderId="0" xfId="6" quotePrefix="1" applyFont="1" applyFill="1" applyBorder="1" applyAlignment="1">
      <alignment horizontal="left" vertical="center" wrapText="1"/>
    </xf>
    <xf numFmtId="1" fontId="55" fillId="0" borderId="0" xfId="0" applyNumberFormat="1" applyFont="1" applyFill="1" applyBorder="1" applyAlignment="1">
      <alignment horizontal="left" vertical="center" wrapText="1"/>
    </xf>
    <xf numFmtId="0" fontId="55" fillId="0" borderId="0" xfId="6" applyNumberFormat="1" applyFont="1" applyFill="1" applyBorder="1" applyAlignment="1">
      <alignment horizontal="left" vertical="center" wrapText="1"/>
    </xf>
    <xf numFmtId="0" fontId="55" fillId="0" borderId="0" xfId="6" applyFont="1" applyFill="1" applyBorder="1" applyAlignment="1">
      <alignment horizontal="left" vertical="center" wrapText="1"/>
    </xf>
    <xf numFmtId="1" fontId="11" fillId="0" borderId="6" xfId="2" applyNumberFormat="1" applyFont="1" applyFill="1" applyBorder="1" applyAlignment="1" applyProtection="1">
      <alignment horizontal="left" vertical="center" wrapText="1"/>
    </xf>
    <xf numFmtId="0" fontId="53" fillId="0" borderId="0" xfId="0" applyFont="1"/>
    <xf numFmtId="0"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left" vertical="center"/>
      <protection locked="0"/>
    </xf>
    <xf numFmtId="0" fontId="24" fillId="0" borderId="1" xfId="18" applyNumberFormat="1" applyFont="1" applyFill="1" applyAlignment="1" applyProtection="1">
      <alignment vertical="center"/>
      <protection locked="0"/>
    </xf>
    <xf numFmtId="14" fontId="24" fillId="0" borderId="1" xfId="18" applyNumberFormat="1" applyFont="1" applyFill="1" applyProtection="1">
      <alignment horizontal="right" vertical="center"/>
      <protection locked="0"/>
    </xf>
    <xf numFmtId="14" fontId="24" fillId="0" borderId="1" xfId="18" applyNumberFormat="1" applyFont="1" applyFill="1" applyAlignment="1" applyProtection="1">
      <alignment horizontal="left" vertical="center"/>
      <protection locked="0"/>
    </xf>
    <xf numFmtId="14" fontId="24" fillId="0" borderId="1" xfId="18" applyNumberFormat="1" applyFont="1" applyFill="1" applyAlignment="1" applyProtection="1">
      <alignment vertical="center"/>
      <protection locked="0"/>
    </xf>
    <xf numFmtId="0"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left" vertical="center"/>
      <protection locked="0"/>
    </xf>
    <xf numFmtId="0" fontId="24" fillId="0" borderId="1" xfId="18" applyNumberFormat="1" applyFont="1" applyFill="1" applyAlignment="1" applyProtection="1">
      <alignment vertical="center"/>
      <protection locked="0"/>
    </xf>
    <xf numFmtId="0" fontId="24" fillId="0" borderId="1" xfId="18" applyNumberFormat="1" applyFont="1" applyFill="1" applyAlignment="1" applyProtection="1">
      <alignment horizontal="left" vertical="center"/>
      <protection locked="0"/>
    </xf>
    <xf numFmtId="0" fontId="24" fillId="0" borderId="1" xfId="18" applyNumberFormat="1" applyFont="1" applyFill="1" applyAlignment="1" applyProtection="1">
      <alignment vertical="center"/>
      <protection locked="0"/>
    </xf>
    <xf numFmtId="0" fontId="25" fillId="52" borderId="1" xfId="19" quotePrefix="1" applyNumberFormat="1" applyFont="1" applyFill="1" applyBorder="1" applyAlignment="1" applyProtection="1">
      <alignment horizontal="center" vertical="center" justifyLastLine="1"/>
      <protection locked="0"/>
    </xf>
    <xf numFmtId="3" fontId="24" fillId="0" borderId="1" xfId="18" applyNumberFormat="1" applyFont="1" applyFill="1" applyProtection="1">
      <alignment horizontal="right" vertical="center"/>
      <protection locked="0"/>
    </xf>
    <xf numFmtId="3" fontId="24" fillId="0" borderId="1" xfId="18" applyNumberFormat="1" applyFont="1" applyFill="1" applyProtection="1">
      <alignment horizontal="right" vertical="center"/>
      <protection locked="0"/>
    </xf>
    <xf numFmtId="0" fontId="25" fillId="52" borderId="1" xfId="19" quotePrefix="1" applyNumberFormat="1" applyFont="1" applyFill="1" applyBorder="1" applyAlignment="1" applyProtection="1">
      <alignment horizontal="center" vertical="center" justifyLastLine="1"/>
      <protection locked="0"/>
    </xf>
    <xf numFmtId="3" fontId="24" fillId="0" borderId="1" xfId="18" applyNumberFormat="1" applyFont="1" applyFill="1" applyProtection="1">
      <alignment horizontal="right" vertical="center"/>
      <protection locked="0"/>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center" vertical="center"/>
      <protection locked="0"/>
    </xf>
    <xf numFmtId="3" fontId="24" fillId="0" borderId="1" xfId="18" applyNumberFormat="1" applyFont="1" applyFill="1" applyProtection="1">
      <alignment horizontal="right" vertical="center"/>
      <protection locked="0"/>
    </xf>
    <xf numFmtId="0" fontId="24" fillId="0" borderId="1" xfId="19" quotePrefix="1" applyNumberFormat="1" applyFont="1" applyFill="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center" vertical="center"/>
      <protection locked="0"/>
    </xf>
    <xf numFmtId="3"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0" fontId="24" fillId="0" borderId="1" xfId="19" quotePrefix="1" applyNumberFormat="1" applyFont="1" applyFill="1" applyAlignment="1" applyProtection="1">
      <alignment horizontal="center" vertical="center" justifyLastLine="1"/>
      <protection locked="0"/>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14" fontId="24" fillId="0" borderId="1" xfId="18" applyNumberFormat="1" applyFont="1" applyFill="1" applyProtection="1">
      <alignment horizontal="right" vertical="center"/>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56" fillId="0" borderId="39" xfId="0" applyFont="1" applyBorder="1"/>
    <xf numFmtId="0" fontId="56" fillId="0" borderId="39" xfId="0" applyFont="1" applyBorder="1" applyProtection="1"/>
    <xf numFmtId="0" fontId="56" fillId="0" borderId="0" xfId="0" applyFont="1" applyBorder="1" applyProtection="1"/>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1" fontId="16" fillId="12" borderId="5" xfId="2" applyNumberFormat="1" applyFont="1" applyFill="1" applyBorder="1" applyAlignment="1" applyProtection="1">
      <alignment horizontal="center" vertical="center" wrapText="1"/>
    </xf>
    <xf numFmtId="0" fontId="58" fillId="0" borderId="0" xfId="2" applyNumberFormat="1" applyFont="1" applyFill="1" applyBorder="1" applyAlignment="1" applyProtection="1">
      <alignment horizontal="center" vertical="center" wrapText="1"/>
    </xf>
    <xf numFmtId="0" fontId="6" fillId="0" borderId="0"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79">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Comma 2" xfId="1"/>
    <cellStyle name="Comma 2 2" xfId="77"/>
    <cellStyle name="Emphasis 1" xfId="39"/>
    <cellStyle name="Emphasis 2" xfId="40"/>
    <cellStyle name="Emphasis 3" xfId="41"/>
    <cellStyle name="Naslov 1" xfId="76"/>
    <cellStyle name="Normal" xfId="0" builtinId="0"/>
    <cellStyle name="Normal 2" xfId="2"/>
    <cellStyle name="Normal 3" xfId="20"/>
    <cellStyle name="Normal 3 2" xfId="78"/>
    <cellStyle name="Normal 3 3" xfId="3"/>
    <cellStyle name="Normal 6" xfId="4"/>
    <cellStyle name="Obično_01_ZAGREBAČKA ŽUPANIJA" xfId="73"/>
    <cellStyle name="Obično_14_OSJEČKO-BARANJSKA ŽUPANIJA" xfId="74"/>
    <cellStyle name="Obično_List4" xfId="5"/>
    <cellStyle name="Obično_List7" xfId="6"/>
    <cellStyle name="Obično_List8" xfId="7"/>
    <cellStyle name="Obično_List9" xfId="8"/>
    <cellStyle name="SAPBEXaggData" xfId="9"/>
    <cellStyle name="SAPBEXaggDataEmph" xfId="42"/>
    <cellStyle name="SAPBEXaggItem" xfId="10"/>
    <cellStyle name="SAPBEXaggItemX" xfId="43"/>
    <cellStyle name="SAPBEXchaText" xfId="11"/>
    <cellStyle name="SAPBEXexcBad7" xfId="44"/>
    <cellStyle name="SAPBEXexcBad8" xfId="45"/>
    <cellStyle name="SAPBEXexcBad9" xfId="46"/>
    <cellStyle name="SAPBEXexcCritical4" xfId="47"/>
    <cellStyle name="SAPBEXexcCritical5" xfId="48"/>
    <cellStyle name="SAPBEXexcCritical6" xfId="49"/>
    <cellStyle name="SAPBEXexcGood1" xfId="50"/>
    <cellStyle name="SAPBEXexcGood2" xfId="51"/>
    <cellStyle name="SAPBEXexcGood3" xfId="52"/>
    <cellStyle name="SAPBEXfilterDrill" xfId="53"/>
    <cellStyle name="SAPBEXfilterItem" xfId="54"/>
    <cellStyle name="SAPBEXfilterText" xfId="55"/>
    <cellStyle name="SAPBEXformats" xfId="12"/>
    <cellStyle name="SAPBEXheaderItem" xfId="56"/>
    <cellStyle name="SAPBEXheaderText" xfId="57"/>
    <cellStyle name="SAPBEXHLevel0" xfId="13"/>
    <cellStyle name="SAPBEXHLevel0 2" xfId="75"/>
    <cellStyle name="SAPBEXHLevel0X" xfId="58"/>
    <cellStyle name="SAPBEXHLevel1" xfId="14"/>
    <cellStyle name="SAPBEXHLevel1X" xfId="59"/>
    <cellStyle name="SAPBEXHLevel2" xfId="15"/>
    <cellStyle name="SAPBEXHLevel2X" xfId="60"/>
    <cellStyle name="SAPBEXHLevel3" xfId="16"/>
    <cellStyle name="SAPBEXHLevel3X" xfId="61"/>
    <cellStyle name="SAPBEXinputData" xfId="62"/>
    <cellStyle name="SAPBEXItemHeader" xfId="17"/>
    <cellStyle name="SAPBEXresData" xfId="63"/>
    <cellStyle name="SAPBEXresDataEmph" xfId="64"/>
    <cellStyle name="SAPBEXresItem" xfId="65"/>
    <cellStyle name="SAPBEXresItemX" xfId="66"/>
    <cellStyle name="SAPBEXstdData" xfId="18"/>
    <cellStyle name="SAPBEXstdDataEmph" xfId="67"/>
    <cellStyle name="SAPBEXstdItem" xfId="19"/>
    <cellStyle name="SAPBEXstdItemX" xfId="68"/>
    <cellStyle name="SAPBEXtitle" xfId="69"/>
    <cellStyle name="SAPBEXunassignedItem" xfId="70"/>
    <cellStyle name="SAPBEXundefined" xfId="71"/>
    <cellStyle name="Sheet Title" xfId="72"/>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1" name="Line 1">
          <a:extLst>
            <a:ext uri="{FF2B5EF4-FFF2-40B4-BE49-F238E27FC236}">
              <a16:creationId xmlns=""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2" name="Line 2">
          <a:extLst>
            <a:ext uri="{FF2B5EF4-FFF2-40B4-BE49-F238E27FC236}">
              <a16:creationId xmlns=""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3323" name="Line 1">
          <a:extLst>
            <a:ext uri="{FF2B5EF4-FFF2-40B4-BE49-F238E27FC236}">
              <a16:creationId xmlns=""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3324" name="Line 2">
          <a:extLst>
            <a:ext uri="{FF2B5EF4-FFF2-40B4-BE49-F238E27FC236}">
              <a16:creationId xmlns=""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8" name="Line 1">
          <a:extLst>
            <a:ext uri="{FF2B5EF4-FFF2-40B4-BE49-F238E27FC236}">
              <a16:creationId xmlns=""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9" name="Line 2">
          <a:extLst>
            <a:ext uri="{FF2B5EF4-FFF2-40B4-BE49-F238E27FC236}">
              <a16:creationId xmlns=""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20" name="Line 1">
          <a:extLst>
            <a:ext uri="{FF2B5EF4-FFF2-40B4-BE49-F238E27FC236}">
              <a16:creationId xmlns=""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21" name="Line 2">
          <a:extLst>
            <a:ext uri="{FF2B5EF4-FFF2-40B4-BE49-F238E27FC236}">
              <a16:creationId xmlns=""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 xmlns:a16="http://schemas.microsoft.com/office/drawing/2014/main"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showGridLines="0" topLeftCell="A7" workbookViewId="0">
      <selection activeCell="C7" sqref="C7:E7"/>
    </sheetView>
  </sheetViews>
  <sheetFormatPr defaultColWidth="14.42578125" defaultRowHeight="12.75"/>
  <cols>
    <col min="1" max="1" width="7.5703125" style="152" customWidth="1"/>
    <col min="2" max="2" width="36.140625" style="152" bestFit="1" customWidth="1"/>
    <col min="3" max="3" width="21.42578125" style="152" customWidth="1"/>
    <col min="4" max="4" width="21.140625" style="152" customWidth="1"/>
    <col min="5" max="5" width="21.7109375" style="152" customWidth="1"/>
    <col min="6" max="8" width="11.42578125" style="152" customWidth="1"/>
    <col min="9" max="11" width="11.42578125" style="152" hidden="1" customWidth="1"/>
    <col min="12" max="12" width="16.42578125" style="152" hidden="1" customWidth="1"/>
    <col min="13" max="13" width="7.85546875" style="152" hidden="1" customWidth="1"/>
    <col min="14" max="14" width="41.28515625" style="152" hidden="1" customWidth="1"/>
    <col min="15" max="15" width="19.5703125" style="152" hidden="1" customWidth="1"/>
    <col min="16" max="22" width="11.42578125" style="152" hidden="1" customWidth="1"/>
    <col min="23" max="28" width="11.42578125" style="152" customWidth="1"/>
    <col min="29" max="16384" width="14.42578125" style="152"/>
  </cols>
  <sheetData>
    <row r="1" spans="1:28">
      <c r="A1" s="249"/>
    </row>
    <row r="3" spans="1:28" ht="36.75" customHeight="1" thickBot="1">
      <c r="A3" s="153"/>
      <c r="B3" s="193" t="s">
        <v>361</v>
      </c>
      <c r="C3" s="312" t="s">
        <v>2243</v>
      </c>
      <c r="D3" s="313"/>
      <c r="E3" s="314"/>
      <c r="F3" s="153"/>
      <c r="G3" s="153"/>
      <c r="H3" s="153"/>
      <c r="I3" s="153"/>
      <c r="J3" s="153"/>
      <c r="K3" s="153"/>
      <c r="L3" s="153"/>
      <c r="M3" s="153"/>
      <c r="N3" s="153"/>
      <c r="O3" s="153"/>
      <c r="P3" s="153"/>
      <c r="Q3" s="153"/>
      <c r="R3" s="153"/>
      <c r="S3" s="153"/>
      <c r="T3" s="153"/>
      <c r="U3" s="153"/>
      <c r="V3" s="153"/>
      <c r="W3" s="153"/>
      <c r="X3" s="153"/>
      <c r="Y3" s="153"/>
      <c r="Z3" s="153"/>
      <c r="AA3" s="153"/>
      <c r="AB3" s="153"/>
    </row>
    <row r="4" spans="1:28" ht="15.75" thickBot="1">
      <c r="A4" s="153"/>
      <c r="B4" s="194" t="s">
        <v>0</v>
      </c>
      <c r="C4" s="315" t="s">
        <v>2374</v>
      </c>
      <c r="D4" s="316"/>
      <c r="E4" s="317"/>
      <c r="F4" s="153"/>
      <c r="G4" s="153"/>
      <c r="H4" s="153"/>
      <c r="I4" s="153"/>
      <c r="J4" s="153"/>
      <c r="K4" s="153"/>
      <c r="L4" s="153"/>
      <c r="M4" s="153"/>
      <c r="N4" s="153"/>
      <c r="O4" s="153"/>
      <c r="P4" s="153"/>
      <c r="Q4" s="153"/>
      <c r="R4" s="153"/>
      <c r="S4" s="153"/>
      <c r="T4" s="153"/>
      <c r="U4" s="153"/>
      <c r="V4" s="153"/>
      <c r="W4" s="153"/>
      <c r="X4" s="153"/>
      <c r="Y4" s="153"/>
      <c r="Z4" s="153"/>
      <c r="AA4" s="153"/>
      <c r="AB4" s="153"/>
    </row>
    <row r="5" spans="1:28" ht="15.75" thickBot="1">
      <c r="A5" s="154"/>
      <c r="B5" s="194" t="s">
        <v>1</v>
      </c>
      <c r="C5" s="315" t="s">
        <v>2375</v>
      </c>
      <c r="D5" s="316"/>
      <c r="E5" s="317"/>
      <c r="F5" s="153"/>
      <c r="G5" s="153"/>
      <c r="H5" s="153"/>
      <c r="I5" s="153"/>
      <c r="J5" s="153"/>
      <c r="K5" s="155" t="s">
        <v>371</v>
      </c>
      <c r="L5" s="155" t="s">
        <v>755</v>
      </c>
      <c r="M5" s="155" t="s">
        <v>372</v>
      </c>
      <c r="N5" s="155" t="s">
        <v>373</v>
      </c>
      <c r="O5" s="155" t="s">
        <v>374</v>
      </c>
      <c r="P5" s="155" t="s">
        <v>375</v>
      </c>
      <c r="Q5" s="155" t="s">
        <v>376</v>
      </c>
      <c r="R5" s="155" t="s">
        <v>377</v>
      </c>
      <c r="S5" s="155" t="s">
        <v>378</v>
      </c>
      <c r="T5" s="155" t="s">
        <v>753</v>
      </c>
      <c r="U5" s="156" t="s">
        <v>226</v>
      </c>
      <c r="V5" s="153"/>
      <c r="W5" s="153"/>
      <c r="X5" s="153"/>
      <c r="Y5" s="153"/>
      <c r="Z5" s="153"/>
      <c r="AA5" s="153"/>
      <c r="AB5" s="153"/>
    </row>
    <row r="6" spans="1:28" ht="15.75" thickBot="1">
      <c r="A6" s="157"/>
      <c r="B6" s="194" t="s">
        <v>2</v>
      </c>
      <c r="C6" s="315" t="s">
        <v>2376</v>
      </c>
      <c r="D6" s="316"/>
      <c r="E6" s="317"/>
      <c r="F6" s="153"/>
      <c r="G6" s="153"/>
      <c r="H6" s="153"/>
      <c r="I6" s="153"/>
      <c r="J6" s="153"/>
      <c r="K6" s="152">
        <v>0</v>
      </c>
      <c r="L6" s="152" t="s">
        <v>756</v>
      </c>
      <c r="T6" s="152" t="s">
        <v>782</v>
      </c>
      <c r="U6" s="152" t="s">
        <v>782</v>
      </c>
      <c r="V6" s="153"/>
      <c r="W6" s="153"/>
      <c r="X6" s="153"/>
      <c r="Y6" s="153"/>
      <c r="Z6" s="153"/>
      <c r="AA6" s="153"/>
      <c r="AB6" s="153"/>
    </row>
    <row r="7" spans="1:28" ht="15.75" thickBot="1">
      <c r="A7" s="157"/>
      <c r="B7" s="194" t="s">
        <v>360</v>
      </c>
      <c r="C7" s="315" t="s">
        <v>2377</v>
      </c>
      <c r="D7" s="316"/>
      <c r="E7" s="317"/>
      <c r="F7" s="153"/>
      <c r="G7" s="153"/>
      <c r="H7" s="153"/>
      <c r="I7" s="153"/>
      <c r="J7" s="153"/>
      <c r="K7" s="239">
        <f t="shared" ref="K7:K34" si="0">+K6+1</f>
        <v>1</v>
      </c>
      <c r="L7" s="237" t="s">
        <v>2307</v>
      </c>
      <c r="M7" s="237">
        <v>1222</v>
      </c>
      <c r="N7" s="240" t="s">
        <v>610</v>
      </c>
      <c r="O7" s="241"/>
      <c r="P7" s="246"/>
      <c r="Q7" s="240"/>
      <c r="R7" s="238"/>
      <c r="S7" s="234"/>
      <c r="T7" s="235" t="s">
        <v>1536</v>
      </c>
      <c r="U7" s="236" t="s">
        <v>1205</v>
      </c>
      <c r="V7" s="153"/>
      <c r="W7" s="153"/>
      <c r="X7" s="153"/>
      <c r="Y7" s="153"/>
      <c r="Z7" s="153"/>
      <c r="AA7" s="153"/>
      <c r="AB7" s="153"/>
    </row>
    <row r="8" spans="1:28" ht="15">
      <c r="A8" s="157"/>
      <c r="B8" s="157"/>
      <c r="C8" s="153"/>
      <c r="D8" s="153"/>
      <c r="E8" s="153"/>
      <c r="F8" s="153"/>
      <c r="G8" s="153"/>
      <c r="H8" s="153"/>
      <c r="I8" s="153"/>
      <c r="J8" s="153"/>
      <c r="K8" s="239">
        <f t="shared" si="0"/>
        <v>2</v>
      </c>
      <c r="L8" s="237" t="s">
        <v>2234</v>
      </c>
      <c r="M8" s="237">
        <v>1757</v>
      </c>
      <c r="N8" s="240" t="s">
        <v>533</v>
      </c>
      <c r="O8" s="241" t="s">
        <v>514</v>
      </c>
      <c r="P8" s="240" t="s">
        <v>534</v>
      </c>
      <c r="Q8" s="240" t="s">
        <v>380</v>
      </c>
      <c r="R8" s="238">
        <v>3276643</v>
      </c>
      <c r="S8" s="234" t="s">
        <v>535</v>
      </c>
      <c r="T8" s="235" t="s">
        <v>52</v>
      </c>
      <c r="U8" s="236" t="s">
        <v>51</v>
      </c>
      <c r="V8" s="153"/>
      <c r="W8" s="153"/>
      <c r="X8" s="153"/>
      <c r="Y8" s="153"/>
      <c r="Z8" s="153"/>
      <c r="AA8" s="153"/>
      <c r="AB8" s="153"/>
    </row>
    <row r="9" spans="1:28" ht="28.5" customHeight="1">
      <c r="B9" s="311" t="s">
        <v>2140</v>
      </c>
      <c r="C9" s="310"/>
      <c r="D9" s="310"/>
      <c r="E9" s="310"/>
      <c r="F9" s="153"/>
      <c r="G9" s="153"/>
      <c r="H9" s="153"/>
      <c r="I9" s="153"/>
      <c r="J9" s="153"/>
      <c r="K9" s="239">
        <f t="shared" si="0"/>
        <v>3</v>
      </c>
      <c r="L9" s="237" t="s">
        <v>2253</v>
      </c>
      <c r="M9" s="237">
        <v>1781</v>
      </c>
      <c r="N9" s="240" t="s">
        <v>586</v>
      </c>
      <c r="O9" s="241" t="s">
        <v>514</v>
      </c>
      <c r="P9" s="240" t="s">
        <v>587</v>
      </c>
      <c r="Q9" s="240" t="s">
        <v>380</v>
      </c>
      <c r="R9" s="238">
        <v>3270149</v>
      </c>
      <c r="S9" s="234" t="s">
        <v>588</v>
      </c>
      <c r="T9" s="235" t="s">
        <v>52</v>
      </c>
      <c r="U9" s="236" t="s">
        <v>51</v>
      </c>
      <c r="V9" s="153"/>
      <c r="W9" s="153"/>
      <c r="X9" s="153"/>
      <c r="Y9" s="153"/>
      <c r="Z9" s="153"/>
      <c r="AA9" s="153"/>
      <c r="AB9" s="153"/>
    </row>
    <row r="10" spans="1:28" ht="18.75" customHeight="1">
      <c r="B10" s="311" t="s">
        <v>3</v>
      </c>
      <c r="C10" s="310"/>
      <c r="D10" s="310"/>
      <c r="E10" s="310"/>
      <c r="F10" s="153"/>
      <c r="G10" s="153"/>
      <c r="H10" s="153"/>
      <c r="I10" s="153"/>
      <c r="J10" s="153"/>
      <c r="K10" s="239">
        <f t="shared" si="0"/>
        <v>4</v>
      </c>
      <c r="L10" s="237" t="s">
        <v>2238</v>
      </c>
      <c r="M10" s="237">
        <v>1790</v>
      </c>
      <c r="N10" s="240" t="s">
        <v>540</v>
      </c>
      <c r="O10" s="248" t="s">
        <v>514</v>
      </c>
      <c r="P10" s="240" t="s">
        <v>541</v>
      </c>
      <c r="Q10" s="240" t="s">
        <v>380</v>
      </c>
      <c r="R10" s="238">
        <v>3250270</v>
      </c>
      <c r="S10" s="234" t="s">
        <v>542</v>
      </c>
      <c r="T10" s="235" t="s">
        <v>52</v>
      </c>
      <c r="U10" s="236" t="s">
        <v>51</v>
      </c>
      <c r="V10" s="153"/>
      <c r="W10" s="153"/>
      <c r="X10" s="153"/>
      <c r="Y10" s="153"/>
      <c r="Z10" s="153"/>
      <c r="AA10" s="153"/>
      <c r="AB10" s="153"/>
    </row>
    <row r="11" spans="1:28" ht="12" customHeight="1">
      <c r="B11" s="309"/>
      <c r="C11" s="310"/>
      <c r="D11" s="310"/>
      <c r="E11" s="310"/>
      <c r="F11" s="153"/>
      <c r="G11" s="153"/>
      <c r="H11" s="153"/>
      <c r="I11" s="153"/>
      <c r="J11" s="153"/>
      <c r="K11" s="239">
        <f t="shared" si="0"/>
        <v>5</v>
      </c>
      <c r="L11" s="237" t="s">
        <v>2257</v>
      </c>
      <c r="M11" s="237">
        <v>1804</v>
      </c>
      <c r="N11" s="240" t="s">
        <v>597</v>
      </c>
      <c r="O11" s="248" t="s">
        <v>514</v>
      </c>
      <c r="P11" s="240" t="s">
        <v>598</v>
      </c>
      <c r="Q11" s="240" t="s">
        <v>380</v>
      </c>
      <c r="R11" s="238">
        <v>3207064</v>
      </c>
      <c r="S11" s="234" t="s">
        <v>599</v>
      </c>
      <c r="T11" s="235" t="s">
        <v>52</v>
      </c>
      <c r="U11" s="236" t="s">
        <v>51</v>
      </c>
      <c r="V11" s="153"/>
      <c r="W11" s="153"/>
      <c r="X11" s="153"/>
      <c r="Y11" s="153"/>
      <c r="Z11" s="153"/>
      <c r="AA11" s="153"/>
      <c r="AB11" s="153"/>
    </row>
    <row r="12" spans="1:28" ht="12" customHeight="1">
      <c r="A12" s="159"/>
      <c r="B12" s="159"/>
      <c r="C12" s="153"/>
      <c r="D12" s="153"/>
      <c r="E12" s="153"/>
      <c r="F12" s="153"/>
      <c r="G12" s="153"/>
      <c r="H12" s="153"/>
      <c r="I12" s="153"/>
      <c r="J12" s="153"/>
      <c r="K12" s="239">
        <f t="shared" si="0"/>
        <v>6</v>
      </c>
      <c r="L12" s="237" t="s">
        <v>2240</v>
      </c>
      <c r="M12" s="237">
        <v>1812</v>
      </c>
      <c r="N12" s="240" t="s">
        <v>546</v>
      </c>
      <c r="O12" s="248" t="s">
        <v>514</v>
      </c>
      <c r="P12" s="240" t="s">
        <v>547</v>
      </c>
      <c r="Q12" s="240" t="s">
        <v>380</v>
      </c>
      <c r="R12" s="238">
        <v>3260771</v>
      </c>
      <c r="S12" s="234" t="s">
        <v>548</v>
      </c>
      <c r="T12" s="235" t="s">
        <v>52</v>
      </c>
      <c r="U12" s="236" t="s">
        <v>51</v>
      </c>
      <c r="V12" s="153"/>
      <c r="W12" s="153"/>
      <c r="X12" s="153"/>
      <c r="Y12" s="153"/>
      <c r="Z12" s="153"/>
      <c r="AA12" s="153"/>
      <c r="AB12" s="153"/>
    </row>
    <row r="13" spans="1:28" ht="33" customHeight="1">
      <c r="A13" s="160"/>
      <c r="B13" s="160"/>
      <c r="C13" s="160" t="s">
        <v>2141</v>
      </c>
      <c r="D13" s="160" t="s">
        <v>2142</v>
      </c>
      <c r="E13" s="160" t="s">
        <v>2143</v>
      </c>
      <c r="F13" s="161"/>
      <c r="G13" s="153"/>
      <c r="H13" s="153"/>
      <c r="I13" s="153"/>
      <c r="J13" s="153"/>
      <c r="K13" s="239">
        <f t="shared" si="0"/>
        <v>7</v>
      </c>
      <c r="L13" s="237" t="s">
        <v>2241</v>
      </c>
      <c r="M13" s="237">
        <v>1829</v>
      </c>
      <c r="N13" s="240" t="s">
        <v>549</v>
      </c>
      <c r="O13" s="248" t="s">
        <v>514</v>
      </c>
      <c r="P13" s="240" t="s">
        <v>550</v>
      </c>
      <c r="Q13" s="240" t="s">
        <v>380</v>
      </c>
      <c r="R13" s="238">
        <v>3276546</v>
      </c>
      <c r="S13" s="234" t="s">
        <v>551</v>
      </c>
      <c r="T13" s="235" t="s">
        <v>52</v>
      </c>
      <c r="U13" s="236" t="s">
        <v>51</v>
      </c>
      <c r="V13" s="153"/>
      <c r="W13" s="153"/>
      <c r="X13" s="153"/>
      <c r="Y13" s="153"/>
      <c r="Z13" s="153"/>
      <c r="AA13" s="153"/>
      <c r="AB13" s="153"/>
    </row>
    <row r="14" spans="1:28" ht="19.5" customHeight="1">
      <c r="A14" s="162"/>
      <c r="B14" s="162" t="s">
        <v>4</v>
      </c>
      <c r="C14" s="163">
        <f>SUM(C15:C16)</f>
        <v>170730836</v>
      </c>
      <c r="D14" s="163">
        <f>+D15+D16</f>
        <v>175228021</v>
      </c>
      <c r="E14" s="163">
        <f>+E15+E16</f>
        <v>175067629</v>
      </c>
      <c r="F14" s="164"/>
      <c r="G14" s="153"/>
      <c r="H14" s="153"/>
      <c r="I14" s="153"/>
      <c r="J14" s="153"/>
      <c r="K14" s="239">
        <f t="shared" si="0"/>
        <v>8</v>
      </c>
      <c r="L14" s="237" t="s">
        <v>2245</v>
      </c>
      <c r="M14" s="237">
        <v>1837</v>
      </c>
      <c r="N14" s="240" t="s">
        <v>564</v>
      </c>
      <c r="O14" s="248" t="s">
        <v>514</v>
      </c>
      <c r="P14" s="240" t="s">
        <v>565</v>
      </c>
      <c r="Q14" s="240" t="s">
        <v>380</v>
      </c>
      <c r="R14" s="238">
        <v>3227120</v>
      </c>
      <c r="S14" s="234" t="s">
        <v>566</v>
      </c>
      <c r="T14" s="235" t="s">
        <v>52</v>
      </c>
      <c r="U14" s="236" t="s">
        <v>51</v>
      </c>
      <c r="V14" s="153"/>
      <c r="W14" s="153"/>
      <c r="X14" s="153"/>
      <c r="Y14" s="153"/>
      <c r="Z14" s="153"/>
      <c r="AA14" s="153"/>
      <c r="AB14" s="153"/>
    </row>
    <row r="15" spans="1:28" ht="19.5" customHeight="1">
      <c r="A15" s="165">
        <v>6</v>
      </c>
      <c r="B15" s="162" t="s">
        <v>5</v>
      </c>
      <c r="C15" s="166">
        <f>'PLAN PRIHODA I PRIMITAKA '!D27</f>
        <v>170730836</v>
      </c>
      <c r="D15" s="166">
        <f>'PLAN PRIHODA I PRIMITAKA '!D68</f>
        <v>175228021</v>
      </c>
      <c r="E15" s="166">
        <f>'PLAN PRIHODA I PRIMITAKA '!D109</f>
        <v>175067629</v>
      </c>
      <c r="F15" s="153"/>
      <c r="G15" s="153"/>
      <c r="H15" s="153"/>
      <c r="I15" s="153"/>
      <c r="J15" s="153"/>
      <c r="K15" s="239">
        <f t="shared" si="0"/>
        <v>9</v>
      </c>
      <c r="L15" s="237" t="s">
        <v>2252</v>
      </c>
      <c r="M15" s="237">
        <v>1845</v>
      </c>
      <c r="N15" s="240" t="s">
        <v>584</v>
      </c>
      <c r="O15" s="248" t="s">
        <v>514</v>
      </c>
      <c r="P15" s="240" t="s">
        <v>590</v>
      </c>
      <c r="Q15" s="240" t="s">
        <v>380</v>
      </c>
      <c r="R15" s="238">
        <v>3207102</v>
      </c>
      <c r="S15" s="234" t="s">
        <v>585</v>
      </c>
      <c r="T15" s="235" t="s">
        <v>52</v>
      </c>
      <c r="U15" s="236" t="s">
        <v>51</v>
      </c>
      <c r="V15" s="153"/>
      <c r="W15" s="153"/>
      <c r="X15" s="153"/>
      <c r="Y15" s="153"/>
      <c r="Z15" s="153"/>
      <c r="AA15" s="153"/>
      <c r="AB15" s="153"/>
    </row>
    <row r="16" spans="1:28" ht="19.5" customHeight="1">
      <c r="A16" s="165">
        <v>7</v>
      </c>
      <c r="B16" s="167" t="s">
        <v>6</v>
      </c>
      <c r="C16" s="166">
        <f>'PLAN PRIHODA I PRIMITAKA '!D34</f>
        <v>0</v>
      </c>
      <c r="D16" s="166">
        <f>'PLAN PRIHODA I PRIMITAKA '!D75</f>
        <v>0</v>
      </c>
      <c r="E16" s="166">
        <f>'PLAN PRIHODA I PRIMITAKA '!D116</f>
        <v>0</v>
      </c>
      <c r="F16" s="153"/>
      <c r="G16" s="168"/>
      <c r="H16" s="153"/>
      <c r="I16" s="153"/>
      <c r="J16" s="153"/>
      <c r="K16" s="239">
        <f t="shared" si="0"/>
        <v>10</v>
      </c>
      <c r="L16" s="237" t="s">
        <v>2244</v>
      </c>
      <c r="M16" s="237">
        <v>1853</v>
      </c>
      <c r="N16" s="240" t="s">
        <v>558</v>
      </c>
      <c r="O16" s="248" t="s">
        <v>514</v>
      </c>
      <c r="P16" s="240" t="s">
        <v>2163</v>
      </c>
      <c r="Q16" s="240" t="s">
        <v>380</v>
      </c>
      <c r="R16" s="238">
        <v>3204987</v>
      </c>
      <c r="S16" s="234" t="s">
        <v>559</v>
      </c>
      <c r="T16" s="235" t="s">
        <v>52</v>
      </c>
      <c r="U16" s="236" t="s">
        <v>51</v>
      </c>
      <c r="V16" s="153"/>
      <c r="W16" s="153"/>
      <c r="X16" s="153"/>
      <c r="Y16" s="153"/>
      <c r="Z16" s="153"/>
      <c r="AA16" s="153"/>
      <c r="AB16" s="153"/>
    </row>
    <row r="17" spans="1:28" ht="19.5" customHeight="1">
      <c r="A17" s="169"/>
      <c r="B17" s="167" t="s">
        <v>7</v>
      </c>
      <c r="C17" s="170">
        <f>SUM(C18:C19)</f>
        <v>173787826</v>
      </c>
      <c r="D17" s="170">
        <f>+D18+D19</f>
        <v>177130893</v>
      </c>
      <c r="E17" s="170">
        <f>+E18+E19</f>
        <v>176644880</v>
      </c>
      <c r="F17" s="153"/>
      <c r="G17" s="153"/>
      <c r="H17" s="153"/>
      <c r="I17" s="153"/>
      <c r="J17" s="153"/>
      <c r="K17" s="239">
        <f t="shared" si="0"/>
        <v>11</v>
      </c>
      <c r="L17" s="237" t="s">
        <v>2231</v>
      </c>
      <c r="M17" s="237">
        <v>1861</v>
      </c>
      <c r="N17" s="240" t="s">
        <v>525</v>
      </c>
      <c r="O17" s="248" t="s">
        <v>514</v>
      </c>
      <c r="P17" s="240" t="s">
        <v>526</v>
      </c>
      <c r="Q17" s="240" t="s">
        <v>380</v>
      </c>
      <c r="R17" s="238">
        <v>3204952</v>
      </c>
      <c r="S17" s="234" t="s">
        <v>527</v>
      </c>
      <c r="T17" s="235" t="s">
        <v>52</v>
      </c>
      <c r="U17" s="236" t="s">
        <v>51</v>
      </c>
      <c r="V17" s="153"/>
      <c r="W17" s="153"/>
      <c r="X17" s="153"/>
      <c r="Y17" s="153"/>
      <c r="Z17" s="153"/>
      <c r="AA17" s="153"/>
      <c r="AB17" s="153"/>
    </row>
    <row r="18" spans="1:28" ht="19.5" customHeight="1">
      <c r="A18" s="169">
        <v>3</v>
      </c>
      <c r="B18" s="162" t="s">
        <v>8</v>
      </c>
      <c r="C18" s="171">
        <f>'PLAN RASHODA I IZDATAKA'!D4</f>
        <v>170438252</v>
      </c>
      <c r="D18" s="172">
        <f>'PLAN RASHODA I IZDATAKA'!D72</f>
        <v>174233327</v>
      </c>
      <c r="E18" s="172">
        <f>'PLAN RASHODA I IZDATAKA'!D92</f>
        <v>173686143</v>
      </c>
      <c r="F18" s="153"/>
      <c r="G18" s="153"/>
      <c r="H18" s="153"/>
      <c r="I18" s="153"/>
      <c r="J18" s="153"/>
      <c r="K18" s="239">
        <f t="shared" si="0"/>
        <v>12</v>
      </c>
      <c r="L18" s="237" t="s">
        <v>2255</v>
      </c>
      <c r="M18" s="237">
        <v>1870</v>
      </c>
      <c r="N18" s="240" t="s">
        <v>592</v>
      </c>
      <c r="O18" s="248" t="s">
        <v>514</v>
      </c>
      <c r="P18" s="240" t="s">
        <v>593</v>
      </c>
      <c r="Q18" s="240" t="s">
        <v>380</v>
      </c>
      <c r="R18" s="238">
        <v>3204995</v>
      </c>
      <c r="S18" s="234" t="s">
        <v>594</v>
      </c>
      <c r="T18" s="235" t="s">
        <v>52</v>
      </c>
      <c r="U18" s="236" t="s">
        <v>51</v>
      </c>
      <c r="V18" s="153"/>
      <c r="W18" s="153"/>
      <c r="X18" s="153"/>
      <c r="Y18" s="153"/>
      <c r="Z18" s="153"/>
      <c r="AA18" s="153"/>
      <c r="AB18" s="153"/>
    </row>
    <row r="19" spans="1:28" ht="19.5" customHeight="1">
      <c r="A19" s="165">
        <v>4</v>
      </c>
      <c r="B19" s="167" t="s">
        <v>9</v>
      </c>
      <c r="C19" s="171">
        <f>'PLAN RASHODA I IZDATAKA'!D38</f>
        <v>3349574</v>
      </c>
      <c r="D19" s="172">
        <f>'PLAN RASHODA I IZDATAKA'!D80</f>
        <v>2897566</v>
      </c>
      <c r="E19" s="172">
        <f>'PLAN RASHODA I IZDATAKA'!D100</f>
        <v>2958737</v>
      </c>
      <c r="F19" s="153"/>
      <c r="G19" s="153"/>
      <c r="H19" s="153"/>
      <c r="I19" s="153"/>
      <c r="J19" s="153"/>
      <c r="K19" s="239">
        <f t="shared" si="0"/>
        <v>13</v>
      </c>
      <c r="L19" s="237" t="s">
        <v>2248</v>
      </c>
      <c r="M19" s="237">
        <v>1888</v>
      </c>
      <c r="N19" s="240" t="s">
        <v>573</v>
      </c>
      <c r="O19" s="248" t="s">
        <v>514</v>
      </c>
      <c r="P19" s="240" t="s">
        <v>574</v>
      </c>
      <c r="Q19" s="240" t="s">
        <v>380</v>
      </c>
      <c r="R19" s="238">
        <v>3270211</v>
      </c>
      <c r="S19" s="234" t="s">
        <v>575</v>
      </c>
      <c r="T19" s="235" t="s">
        <v>52</v>
      </c>
      <c r="U19" s="236" t="s">
        <v>51</v>
      </c>
      <c r="V19" s="153"/>
      <c r="W19" s="153"/>
      <c r="X19" s="153"/>
      <c r="Y19" s="153"/>
      <c r="Z19" s="153"/>
      <c r="AA19" s="153"/>
      <c r="AB19" s="153"/>
    </row>
    <row r="20" spans="1:28" ht="19.5" customHeight="1">
      <c r="A20" s="162"/>
      <c r="B20" s="162" t="s">
        <v>10</v>
      </c>
      <c r="C20" s="163">
        <f>+C14-C17</f>
        <v>-3056990</v>
      </c>
      <c r="D20" s="163">
        <f>+D14-D17</f>
        <v>-1902872</v>
      </c>
      <c r="E20" s="163">
        <f>+E14-E17</f>
        <v>-1577251</v>
      </c>
      <c r="F20" s="153"/>
      <c r="G20" s="153"/>
      <c r="H20" s="153"/>
      <c r="I20" s="153"/>
      <c r="J20" s="153"/>
      <c r="K20" s="239">
        <f t="shared" si="0"/>
        <v>14</v>
      </c>
      <c r="L20" s="237" t="s">
        <v>2256</v>
      </c>
      <c r="M20" s="237">
        <v>1896</v>
      </c>
      <c r="N20" s="240" t="s">
        <v>595</v>
      </c>
      <c r="O20" s="248" t="s">
        <v>514</v>
      </c>
      <c r="P20" s="240" t="s">
        <v>2166</v>
      </c>
      <c r="Q20" s="240" t="s">
        <v>380</v>
      </c>
      <c r="R20" s="238">
        <v>3281485</v>
      </c>
      <c r="S20" s="234" t="s">
        <v>596</v>
      </c>
      <c r="T20" s="235" t="s">
        <v>52</v>
      </c>
      <c r="U20" s="236" t="s">
        <v>51</v>
      </c>
      <c r="V20" s="153"/>
      <c r="W20" s="153"/>
      <c r="X20" s="153"/>
      <c r="Y20" s="153"/>
      <c r="Z20" s="153"/>
      <c r="AA20" s="153"/>
      <c r="AB20" s="153"/>
    </row>
    <row r="21" spans="1:28" ht="19.5" customHeight="1">
      <c r="B21" s="309"/>
      <c r="C21" s="310"/>
      <c r="D21" s="310"/>
      <c r="E21" s="310"/>
      <c r="F21" s="153"/>
      <c r="G21" s="153"/>
      <c r="H21" s="153"/>
      <c r="I21" s="153"/>
      <c r="J21" s="153"/>
      <c r="K21" s="239">
        <f t="shared" si="0"/>
        <v>15</v>
      </c>
      <c r="L21" s="237" t="s">
        <v>2239</v>
      </c>
      <c r="M21" s="237">
        <v>1907</v>
      </c>
      <c r="N21" s="240" t="s">
        <v>543</v>
      </c>
      <c r="O21" s="248" t="s">
        <v>514</v>
      </c>
      <c r="P21" s="240" t="s">
        <v>544</v>
      </c>
      <c r="Q21" s="240" t="s">
        <v>380</v>
      </c>
      <c r="R21" s="238">
        <v>3270262</v>
      </c>
      <c r="S21" s="234" t="s">
        <v>545</v>
      </c>
      <c r="T21" s="235" t="s">
        <v>52</v>
      </c>
      <c r="U21" s="236" t="s">
        <v>51</v>
      </c>
      <c r="V21" s="153"/>
      <c r="W21" s="153"/>
      <c r="X21" s="153"/>
      <c r="Y21" s="153"/>
      <c r="Z21" s="153"/>
      <c r="AA21" s="153"/>
      <c r="AB21" s="153"/>
    </row>
    <row r="22" spans="1:28" ht="29.25" customHeight="1">
      <c r="A22" s="160"/>
      <c r="B22" s="160"/>
      <c r="C22" s="160" t="s">
        <v>2141</v>
      </c>
      <c r="D22" s="160" t="s">
        <v>2142</v>
      </c>
      <c r="E22" s="160" t="s">
        <v>2143</v>
      </c>
      <c r="F22" s="153"/>
      <c r="G22" s="153"/>
      <c r="H22" s="168"/>
      <c r="I22" s="153"/>
      <c r="J22" s="153"/>
      <c r="K22" s="239">
        <f t="shared" si="0"/>
        <v>16</v>
      </c>
      <c r="L22" s="237" t="s">
        <v>2251</v>
      </c>
      <c r="M22" s="237">
        <v>1915</v>
      </c>
      <c r="N22" s="240" t="s">
        <v>581</v>
      </c>
      <c r="O22" s="248" t="s">
        <v>514</v>
      </c>
      <c r="P22" s="240" t="s">
        <v>582</v>
      </c>
      <c r="Q22" s="240" t="s">
        <v>380</v>
      </c>
      <c r="R22" s="238">
        <v>3225909</v>
      </c>
      <c r="S22" s="234" t="s">
        <v>583</v>
      </c>
      <c r="T22" s="235" t="s">
        <v>52</v>
      </c>
      <c r="U22" s="236" t="s">
        <v>51</v>
      </c>
      <c r="V22" s="153"/>
      <c r="W22" s="153"/>
      <c r="X22" s="153"/>
      <c r="Y22" s="153"/>
      <c r="Z22" s="153"/>
      <c r="AA22" s="153"/>
      <c r="AB22" s="153"/>
    </row>
    <row r="23" spans="1:28" ht="30">
      <c r="A23" s="173" t="s">
        <v>11</v>
      </c>
      <c r="B23" s="173" t="s">
        <v>12</v>
      </c>
      <c r="C23" s="171">
        <f>'PLAN PRIHODA I PRIMITAKA '!D5</f>
        <v>3056990</v>
      </c>
      <c r="D23" s="171">
        <f>'PLAN PRIHODA I PRIMITAKA '!D46</f>
        <v>0</v>
      </c>
      <c r="E23" s="171">
        <f>'PLAN PRIHODA I PRIMITAKA '!D87</f>
        <v>-1902872</v>
      </c>
      <c r="F23" s="153"/>
      <c r="G23" s="153"/>
      <c r="H23" s="174"/>
      <c r="I23" s="153"/>
      <c r="J23" s="153"/>
      <c r="K23" s="239">
        <f t="shared" si="0"/>
        <v>17</v>
      </c>
      <c r="L23" s="237" t="s">
        <v>2228</v>
      </c>
      <c r="M23" s="237">
        <v>1923</v>
      </c>
      <c r="N23" s="240" t="s">
        <v>516</v>
      </c>
      <c r="O23" s="248" t="s">
        <v>514</v>
      </c>
      <c r="P23" s="240" t="s">
        <v>517</v>
      </c>
      <c r="Q23" s="240" t="s">
        <v>380</v>
      </c>
      <c r="R23" s="238">
        <v>3283097</v>
      </c>
      <c r="S23" s="234" t="s">
        <v>518</v>
      </c>
      <c r="T23" s="235" t="s">
        <v>52</v>
      </c>
      <c r="U23" s="236" t="s">
        <v>51</v>
      </c>
      <c r="V23" s="153"/>
      <c r="W23" s="153"/>
      <c r="X23" s="153"/>
      <c r="Y23" s="153"/>
      <c r="Z23" s="153"/>
      <c r="AA23" s="153"/>
      <c r="AB23" s="153"/>
    </row>
    <row r="24" spans="1:28" ht="30">
      <c r="A24" s="173" t="s">
        <v>13</v>
      </c>
      <c r="B24" s="173" t="s">
        <v>14</v>
      </c>
      <c r="C24" s="175">
        <f>'PLAN PRIHODA I PRIMITAKA '!D7</f>
        <v>0</v>
      </c>
      <c r="D24" s="175">
        <f>'PLAN PRIHODA I PRIMITAKA '!D48</f>
        <v>1902872</v>
      </c>
      <c r="E24" s="176">
        <f>'PLAN PRIHODA I PRIMITAKA '!D89</f>
        <v>3480123</v>
      </c>
      <c r="F24" s="153"/>
      <c r="G24" s="153"/>
      <c r="H24" s="174"/>
      <c r="I24" s="153"/>
      <c r="J24" s="153"/>
      <c r="K24" s="239">
        <f t="shared" si="0"/>
        <v>18</v>
      </c>
      <c r="L24" s="237" t="s">
        <v>2233</v>
      </c>
      <c r="M24" s="237">
        <v>1931</v>
      </c>
      <c r="N24" s="240" t="s">
        <v>531</v>
      </c>
      <c r="O24" s="241" t="s">
        <v>514</v>
      </c>
      <c r="P24" s="240" t="s">
        <v>2158</v>
      </c>
      <c r="Q24" s="240" t="s">
        <v>380</v>
      </c>
      <c r="R24" s="238">
        <v>3272079</v>
      </c>
      <c r="S24" s="234" t="s">
        <v>532</v>
      </c>
      <c r="T24" s="235" t="s">
        <v>52</v>
      </c>
      <c r="U24" s="236" t="s">
        <v>51</v>
      </c>
      <c r="V24" s="153"/>
      <c r="W24" s="153"/>
      <c r="X24" s="153"/>
      <c r="Y24" s="153"/>
      <c r="Z24" s="153"/>
      <c r="AA24" s="153"/>
      <c r="AB24" s="153"/>
    </row>
    <row r="25" spans="1:28" ht="19.5" customHeight="1">
      <c r="B25" s="309"/>
      <c r="C25" s="310"/>
      <c r="D25" s="310"/>
      <c r="E25" s="310"/>
      <c r="F25" s="153"/>
      <c r="G25" s="153"/>
      <c r="H25" s="153"/>
      <c r="I25" s="153"/>
      <c r="J25" s="153"/>
      <c r="K25" s="239">
        <f t="shared" si="0"/>
        <v>19</v>
      </c>
      <c r="L25" s="237" t="s">
        <v>2258</v>
      </c>
      <c r="M25" s="237">
        <v>1940</v>
      </c>
      <c r="N25" s="240" t="s">
        <v>600</v>
      </c>
      <c r="O25" s="241" t="s">
        <v>514</v>
      </c>
      <c r="P25" s="240" t="s">
        <v>601</v>
      </c>
      <c r="Q25" s="240" t="s">
        <v>380</v>
      </c>
      <c r="R25" s="238">
        <v>1422545</v>
      </c>
      <c r="S25" s="234" t="s">
        <v>602</v>
      </c>
      <c r="T25" s="235" t="s">
        <v>52</v>
      </c>
      <c r="U25" s="236" t="s">
        <v>51</v>
      </c>
      <c r="V25" s="153"/>
      <c r="W25" s="153"/>
      <c r="X25" s="153"/>
      <c r="Y25" s="153"/>
      <c r="Z25" s="153"/>
      <c r="AA25" s="153"/>
      <c r="AB25" s="153"/>
    </row>
    <row r="26" spans="1:28" ht="30.75" customHeight="1">
      <c r="A26" s="160"/>
      <c r="B26" s="160"/>
      <c r="C26" s="160" t="s">
        <v>2141</v>
      </c>
      <c r="D26" s="160" t="s">
        <v>2142</v>
      </c>
      <c r="E26" s="160" t="s">
        <v>2143</v>
      </c>
      <c r="F26" s="153"/>
      <c r="G26" s="153"/>
      <c r="H26" s="177"/>
      <c r="I26" s="153"/>
      <c r="J26" s="153"/>
      <c r="K26" s="239">
        <f t="shared" si="0"/>
        <v>20</v>
      </c>
      <c r="L26" s="237" t="s">
        <v>2243</v>
      </c>
      <c r="M26" s="237">
        <v>1958</v>
      </c>
      <c r="N26" s="240" t="s">
        <v>555</v>
      </c>
      <c r="O26" s="241" t="s">
        <v>514</v>
      </c>
      <c r="P26" s="240" t="s">
        <v>556</v>
      </c>
      <c r="Q26" s="240" t="s">
        <v>380</v>
      </c>
      <c r="R26" s="238">
        <v>3254852</v>
      </c>
      <c r="S26" s="234" t="s">
        <v>557</v>
      </c>
      <c r="T26" s="235" t="s">
        <v>52</v>
      </c>
      <c r="U26" s="236" t="s">
        <v>51</v>
      </c>
      <c r="V26" s="153"/>
      <c r="W26" s="153"/>
      <c r="X26" s="153"/>
      <c r="Y26" s="153"/>
      <c r="Z26" s="153"/>
      <c r="AA26" s="153"/>
      <c r="AB26" s="153"/>
    </row>
    <row r="27" spans="1:28" ht="30">
      <c r="A27" s="165">
        <v>8</v>
      </c>
      <c r="B27" s="162" t="s">
        <v>15</v>
      </c>
      <c r="C27" s="166">
        <f>'PLAN PRIHODA I PRIMITAKA '!D41</f>
        <v>0</v>
      </c>
      <c r="D27" s="166">
        <f>'PLAN PRIHODA I PRIMITAKA '!D82</f>
        <v>0</v>
      </c>
      <c r="E27" s="166">
        <f>'PLAN PRIHODA I PRIMITAKA '!D123</f>
        <v>0</v>
      </c>
      <c r="F27" s="153"/>
      <c r="G27" s="153"/>
      <c r="H27" s="153"/>
      <c r="I27" s="153"/>
      <c r="J27" s="153"/>
      <c r="K27" s="239">
        <f t="shared" si="0"/>
        <v>21</v>
      </c>
      <c r="L27" s="237" t="s">
        <v>2232</v>
      </c>
      <c r="M27" s="237">
        <v>1966</v>
      </c>
      <c r="N27" s="240" t="s">
        <v>528</v>
      </c>
      <c r="O27" s="241" t="s">
        <v>514</v>
      </c>
      <c r="P27" s="240" t="s">
        <v>529</v>
      </c>
      <c r="Q27" s="240" t="s">
        <v>380</v>
      </c>
      <c r="R27" s="238">
        <v>3219780</v>
      </c>
      <c r="S27" s="234" t="s">
        <v>530</v>
      </c>
      <c r="T27" s="235" t="s">
        <v>52</v>
      </c>
      <c r="U27" s="236" t="s">
        <v>51</v>
      </c>
      <c r="V27" s="153"/>
      <c r="W27" s="153"/>
      <c r="X27" s="153"/>
      <c r="Y27" s="153"/>
      <c r="Z27" s="153"/>
      <c r="AA27" s="153"/>
      <c r="AB27" s="153"/>
    </row>
    <row r="28" spans="1:28" ht="30">
      <c r="A28" s="165">
        <v>5</v>
      </c>
      <c r="B28" s="162" t="s">
        <v>16</v>
      </c>
      <c r="C28" s="166">
        <f>'PLAN RASHODA I IZDATAKA'!D58</f>
        <v>0</v>
      </c>
      <c r="D28" s="166">
        <f>'PLAN RASHODA I IZDATAKA'!D86</f>
        <v>0</v>
      </c>
      <c r="E28" s="166">
        <f>'PLAN RASHODA I IZDATAKA'!D106</f>
        <v>0</v>
      </c>
      <c r="F28" s="178"/>
      <c r="G28" s="153"/>
      <c r="H28" s="153"/>
      <c r="I28" s="153"/>
      <c r="J28" s="153"/>
      <c r="K28" s="239">
        <f t="shared" si="0"/>
        <v>22</v>
      </c>
      <c r="L28" s="237" t="s">
        <v>2229</v>
      </c>
      <c r="M28" s="237">
        <v>1974</v>
      </c>
      <c r="N28" s="240" t="s">
        <v>519</v>
      </c>
      <c r="O28" s="248" t="s">
        <v>514</v>
      </c>
      <c r="P28" s="240" t="s">
        <v>520</v>
      </c>
      <c r="Q28" s="240" t="s">
        <v>380</v>
      </c>
      <c r="R28" s="238">
        <v>3205029</v>
      </c>
      <c r="S28" s="234" t="s">
        <v>521</v>
      </c>
      <c r="T28" s="235" t="s">
        <v>52</v>
      </c>
      <c r="U28" s="236" t="s">
        <v>51</v>
      </c>
      <c r="V28" s="153"/>
      <c r="W28" s="153"/>
      <c r="X28" s="153"/>
      <c r="Y28" s="153"/>
      <c r="Z28" s="153"/>
      <c r="AA28" s="153"/>
      <c r="AB28" s="153"/>
    </row>
    <row r="29" spans="1:28" ht="19.5" customHeight="1">
      <c r="A29" s="162"/>
      <c r="B29" s="162" t="s">
        <v>17</v>
      </c>
      <c r="C29" s="170">
        <f>+C27-C28</f>
        <v>0</v>
      </c>
      <c r="D29" s="170">
        <f>+D27-D28</f>
        <v>0</v>
      </c>
      <c r="E29" s="170">
        <f>+E27-E28</f>
        <v>0</v>
      </c>
      <c r="F29" s="153"/>
      <c r="G29" s="153"/>
      <c r="H29" s="153"/>
      <c r="I29" s="153"/>
      <c r="J29" s="153"/>
      <c r="K29" s="239">
        <f t="shared" si="0"/>
        <v>23</v>
      </c>
      <c r="L29" s="237" t="s">
        <v>2230</v>
      </c>
      <c r="M29" s="237">
        <v>1982</v>
      </c>
      <c r="N29" s="240" t="s">
        <v>522</v>
      </c>
      <c r="O29" s="248" t="s">
        <v>514</v>
      </c>
      <c r="P29" s="240" t="s">
        <v>523</v>
      </c>
      <c r="Q29" s="240" t="s">
        <v>380</v>
      </c>
      <c r="R29" s="238">
        <v>3207919</v>
      </c>
      <c r="S29" s="234" t="s">
        <v>524</v>
      </c>
      <c r="T29" s="235" t="s">
        <v>52</v>
      </c>
      <c r="U29" s="236" t="s">
        <v>51</v>
      </c>
      <c r="V29" s="153"/>
      <c r="W29" s="153"/>
      <c r="X29" s="153"/>
      <c r="Y29" s="153"/>
      <c r="Z29" s="153"/>
      <c r="AA29" s="153"/>
      <c r="AB29" s="153"/>
    </row>
    <row r="30" spans="1:28" ht="19.5" customHeight="1">
      <c r="B30" s="309"/>
      <c r="C30" s="310"/>
      <c r="D30" s="310"/>
      <c r="E30" s="310"/>
      <c r="F30" s="153"/>
      <c r="G30" s="153"/>
      <c r="H30" s="153"/>
      <c r="I30" s="153"/>
      <c r="J30" s="153"/>
      <c r="K30" s="239">
        <f t="shared" si="0"/>
        <v>24</v>
      </c>
      <c r="L30" s="237" t="s">
        <v>2250</v>
      </c>
      <c r="M30" s="237">
        <v>1999</v>
      </c>
      <c r="N30" s="240" t="s">
        <v>579</v>
      </c>
      <c r="O30" s="248" t="s">
        <v>514</v>
      </c>
      <c r="P30" s="240" t="s">
        <v>2165</v>
      </c>
      <c r="Q30" s="240" t="s">
        <v>380</v>
      </c>
      <c r="R30" s="238">
        <v>3205002</v>
      </c>
      <c r="S30" s="234" t="s">
        <v>580</v>
      </c>
      <c r="T30" s="235" t="s">
        <v>52</v>
      </c>
      <c r="U30" s="236" t="s">
        <v>51</v>
      </c>
      <c r="V30" s="153"/>
      <c r="W30" s="153"/>
      <c r="X30" s="153"/>
      <c r="Y30" s="153"/>
      <c r="Z30" s="153"/>
      <c r="AA30" s="153"/>
      <c r="AB30" s="153"/>
    </row>
    <row r="31" spans="1:28" ht="30">
      <c r="A31" s="179"/>
      <c r="B31" s="179" t="s">
        <v>18</v>
      </c>
      <c r="C31" s="180">
        <f>+C20+C23+C24+C29</f>
        <v>0</v>
      </c>
      <c r="D31" s="180">
        <f>+D20+D23+D24+D29</f>
        <v>0</v>
      </c>
      <c r="E31" s="180">
        <f>+E20+E23+E24+E29</f>
        <v>0</v>
      </c>
      <c r="F31" s="153"/>
      <c r="G31" s="181"/>
      <c r="H31" s="153"/>
      <c r="I31" s="153"/>
      <c r="J31" s="153"/>
      <c r="K31" s="239">
        <f t="shared" si="0"/>
        <v>25</v>
      </c>
      <c r="L31" s="237" t="s">
        <v>2247</v>
      </c>
      <c r="M31" s="237">
        <v>2006</v>
      </c>
      <c r="N31" s="240" t="s">
        <v>570</v>
      </c>
      <c r="O31" s="248" t="s">
        <v>514</v>
      </c>
      <c r="P31" s="240" t="s">
        <v>571</v>
      </c>
      <c r="Q31" s="240" t="s">
        <v>380</v>
      </c>
      <c r="R31" s="238">
        <v>3274080</v>
      </c>
      <c r="S31" s="234" t="s">
        <v>572</v>
      </c>
      <c r="T31" s="235" t="s">
        <v>52</v>
      </c>
      <c r="U31" s="236" t="s">
        <v>51</v>
      </c>
      <c r="V31" s="153"/>
      <c r="W31" s="153"/>
      <c r="X31" s="153"/>
      <c r="Y31" s="153"/>
      <c r="Z31" s="153"/>
      <c r="AA31" s="153"/>
      <c r="AB31" s="153"/>
    </row>
    <row r="32" spans="1:28" ht="18.75" customHeight="1">
      <c r="A32" s="159"/>
      <c r="B32" s="159"/>
      <c r="C32" s="153"/>
      <c r="D32" s="153"/>
      <c r="E32" s="153"/>
      <c r="F32" s="153"/>
      <c r="G32" s="153"/>
      <c r="H32" s="153"/>
      <c r="I32" s="153"/>
      <c r="J32" s="153"/>
      <c r="K32" s="239">
        <f t="shared" si="0"/>
        <v>26</v>
      </c>
      <c r="L32" s="237" t="s">
        <v>2242</v>
      </c>
      <c r="M32" s="237">
        <v>2014</v>
      </c>
      <c r="N32" s="240" t="s">
        <v>552</v>
      </c>
      <c r="O32" s="248" t="s">
        <v>514</v>
      </c>
      <c r="P32" s="240" t="s">
        <v>553</v>
      </c>
      <c r="Q32" s="240" t="s">
        <v>380</v>
      </c>
      <c r="R32" s="238">
        <v>3205037</v>
      </c>
      <c r="S32" s="234" t="s">
        <v>554</v>
      </c>
      <c r="T32" s="235" t="s">
        <v>52</v>
      </c>
      <c r="U32" s="236" t="s">
        <v>51</v>
      </c>
      <c r="V32" s="153"/>
      <c r="W32" s="153"/>
      <c r="X32" s="153"/>
      <c r="Y32" s="153"/>
      <c r="Z32" s="153"/>
      <c r="AA32" s="153"/>
      <c r="AB32" s="153"/>
    </row>
    <row r="33" spans="1:28" ht="15">
      <c r="A33" s="182"/>
      <c r="B33" s="182"/>
      <c r="C33" s="182"/>
      <c r="D33" s="182"/>
      <c r="E33" s="182"/>
      <c r="F33" s="182"/>
      <c r="G33" s="183"/>
      <c r="H33" s="183"/>
      <c r="I33" s="183"/>
      <c r="J33" s="183"/>
      <c r="K33" s="239">
        <f t="shared" si="0"/>
        <v>27</v>
      </c>
      <c r="L33" s="237" t="s">
        <v>2259</v>
      </c>
      <c r="M33" s="237">
        <v>2022</v>
      </c>
      <c r="N33" s="240" t="s">
        <v>603</v>
      </c>
      <c r="O33" s="248" t="s">
        <v>514</v>
      </c>
      <c r="P33" s="240" t="s">
        <v>604</v>
      </c>
      <c r="Q33" s="240" t="s">
        <v>380</v>
      </c>
      <c r="R33" s="238">
        <v>3225755</v>
      </c>
      <c r="S33" s="234" t="s">
        <v>605</v>
      </c>
      <c r="T33" s="235" t="s">
        <v>52</v>
      </c>
      <c r="U33" s="236" t="s">
        <v>51</v>
      </c>
      <c r="V33" s="183"/>
      <c r="W33" s="183"/>
      <c r="X33" s="183"/>
      <c r="Y33" s="183"/>
      <c r="Z33" s="183"/>
      <c r="AA33" s="183"/>
      <c r="AB33" s="183"/>
    </row>
    <row r="34" spans="1:28" ht="15">
      <c r="A34" s="153"/>
      <c r="B34" s="153"/>
      <c r="C34" s="153"/>
      <c r="D34" s="153"/>
      <c r="E34" s="153"/>
      <c r="F34" s="153"/>
      <c r="G34" s="153"/>
      <c r="H34" s="153"/>
      <c r="I34" s="153"/>
      <c r="J34" s="153"/>
      <c r="K34" s="239">
        <f t="shared" si="0"/>
        <v>28</v>
      </c>
      <c r="L34" s="237" t="s">
        <v>2254</v>
      </c>
      <c r="M34" s="237">
        <v>2047</v>
      </c>
      <c r="N34" s="240" t="s">
        <v>589</v>
      </c>
      <c r="O34" s="248" t="s">
        <v>514</v>
      </c>
      <c r="P34" s="240" t="s">
        <v>590</v>
      </c>
      <c r="Q34" s="240" t="s">
        <v>380</v>
      </c>
      <c r="R34" s="238">
        <v>3207005</v>
      </c>
      <c r="S34" s="234" t="s">
        <v>591</v>
      </c>
      <c r="T34" s="235" t="s">
        <v>52</v>
      </c>
      <c r="U34" s="236" t="s">
        <v>51</v>
      </c>
      <c r="V34" s="153"/>
      <c r="W34" s="153"/>
      <c r="X34" s="153"/>
      <c r="Y34" s="153"/>
      <c r="Z34" s="153"/>
      <c r="AA34" s="153"/>
      <c r="AB34" s="153"/>
    </row>
    <row r="35" spans="1:28" ht="15">
      <c r="A35" s="153"/>
      <c r="B35" s="153"/>
      <c r="C35" s="153"/>
      <c r="D35" s="153"/>
      <c r="E35" s="153"/>
      <c r="F35" s="153"/>
      <c r="G35" s="153"/>
      <c r="H35" s="153"/>
      <c r="I35" s="153"/>
      <c r="J35" s="153"/>
      <c r="K35" s="239">
        <f>1</f>
        <v>1</v>
      </c>
      <c r="L35" s="237" t="s">
        <v>2178</v>
      </c>
      <c r="M35" s="237">
        <v>2063</v>
      </c>
      <c r="N35" s="240" t="s">
        <v>606</v>
      </c>
      <c r="O35" s="248" t="s">
        <v>514</v>
      </c>
      <c r="P35" s="240" t="s">
        <v>607</v>
      </c>
      <c r="Q35" s="240" t="s">
        <v>562</v>
      </c>
      <c r="R35" s="238">
        <v>3006107</v>
      </c>
      <c r="S35" s="234" t="s">
        <v>608</v>
      </c>
      <c r="T35" s="235" t="s">
        <v>52</v>
      </c>
      <c r="U35" s="236" t="s">
        <v>51</v>
      </c>
      <c r="V35" s="153"/>
      <c r="W35" s="153"/>
      <c r="X35" s="153"/>
      <c r="Y35" s="153"/>
      <c r="Z35" s="153"/>
      <c r="AA35" s="153"/>
      <c r="AB35" s="153"/>
    </row>
    <row r="36" spans="1:28" ht="15">
      <c r="A36" s="153"/>
      <c r="B36" s="153"/>
      <c r="C36" s="153"/>
      <c r="D36" s="153"/>
      <c r="E36" s="153"/>
      <c r="F36" s="153"/>
      <c r="G36" s="153"/>
      <c r="H36" s="153"/>
      <c r="I36" s="153"/>
      <c r="J36" s="153"/>
      <c r="K36" s="239">
        <f t="shared" ref="K36:K67" si="1">+K35+1</f>
        <v>2</v>
      </c>
      <c r="L36" s="237" t="s">
        <v>2249</v>
      </c>
      <c r="M36" s="237">
        <v>2071</v>
      </c>
      <c r="N36" s="240" t="s">
        <v>576</v>
      </c>
      <c r="O36" s="248" t="s">
        <v>514</v>
      </c>
      <c r="P36" s="240" t="s">
        <v>577</v>
      </c>
      <c r="Q36" s="240" t="s">
        <v>2164</v>
      </c>
      <c r="R36" s="238">
        <v>3313786</v>
      </c>
      <c r="S36" s="234" t="s">
        <v>578</v>
      </c>
      <c r="T36" s="235" t="s">
        <v>52</v>
      </c>
      <c r="U36" s="236" t="s">
        <v>51</v>
      </c>
      <c r="V36" s="153"/>
      <c r="W36" s="153"/>
      <c r="X36" s="153"/>
      <c r="Y36" s="153"/>
      <c r="Z36" s="153"/>
      <c r="AA36" s="153"/>
      <c r="AB36" s="153"/>
    </row>
    <row r="37" spans="1:28" ht="15">
      <c r="A37" s="153"/>
      <c r="B37" s="153"/>
      <c r="C37" s="153"/>
      <c r="D37" s="153"/>
      <c r="E37" s="153"/>
      <c r="F37" s="153"/>
      <c r="G37" s="153"/>
      <c r="H37" s="153"/>
      <c r="I37" s="153"/>
      <c r="J37" s="153"/>
      <c r="K37" s="239">
        <f t="shared" si="1"/>
        <v>3</v>
      </c>
      <c r="L37" s="237" t="s">
        <v>2246</v>
      </c>
      <c r="M37" s="237">
        <v>2080</v>
      </c>
      <c r="N37" s="240" t="s">
        <v>567</v>
      </c>
      <c r="O37" s="248" t="s">
        <v>514</v>
      </c>
      <c r="P37" s="240" t="s">
        <v>568</v>
      </c>
      <c r="Q37" s="240" t="s">
        <v>380</v>
      </c>
      <c r="R37" s="238">
        <v>3219763</v>
      </c>
      <c r="S37" s="234" t="s">
        <v>569</v>
      </c>
      <c r="T37" s="235" t="s">
        <v>52</v>
      </c>
      <c r="U37" s="236" t="s">
        <v>51</v>
      </c>
      <c r="V37" s="153"/>
      <c r="W37" s="153"/>
      <c r="X37" s="153"/>
      <c r="Y37" s="153"/>
      <c r="Z37" s="153"/>
      <c r="AA37" s="153"/>
      <c r="AB37" s="153"/>
    </row>
    <row r="38" spans="1:28" ht="15">
      <c r="A38" s="153"/>
      <c r="B38" s="153"/>
      <c r="C38" s="153"/>
      <c r="D38" s="153"/>
      <c r="E38" s="153"/>
      <c r="F38" s="153"/>
      <c r="G38" s="153"/>
      <c r="H38" s="153"/>
      <c r="I38" s="153"/>
      <c r="J38" s="153"/>
      <c r="K38" s="239">
        <f t="shared" si="1"/>
        <v>4</v>
      </c>
      <c r="L38" s="237" t="s">
        <v>2179</v>
      </c>
      <c r="M38" s="237">
        <v>2102</v>
      </c>
      <c r="N38" s="240" t="s">
        <v>560</v>
      </c>
      <c r="O38" s="248" t="s">
        <v>514</v>
      </c>
      <c r="P38" s="240" t="s">
        <v>561</v>
      </c>
      <c r="Q38" s="240" t="s">
        <v>562</v>
      </c>
      <c r="R38" s="238">
        <v>3042316</v>
      </c>
      <c r="S38" s="234" t="s">
        <v>563</v>
      </c>
      <c r="T38" s="235" t="s">
        <v>52</v>
      </c>
      <c r="U38" s="236" t="s">
        <v>51</v>
      </c>
      <c r="V38" s="153"/>
      <c r="W38" s="153"/>
      <c r="X38" s="153"/>
      <c r="Y38" s="153"/>
      <c r="Z38" s="153"/>
      <c r="AA38" s="153"/>
      <c r="AB38" s="153"/>
    </row>
    <row r="39" spans="1:28" ht="15">
      <c r="A39" s="153"/>
      <c r="B39" s="153"/>
      <c r="C39" s="153"/>
      <c r="D39" s="153"/>
      <c r="E39" s="153"/>
      <c r="F39" s="153"/>
      <c r="G39" s="153"/>
      <c r="H39" s="153"/>
      <c r="I39" s="153"/>
      <c r="J39" s="153"/>
      <c r="K39" s="239">
        <f t="shared" si="1"/>
        <v>5</v>
      </c>
      <c r="L39" s="237" t="s">
        <v>2236</v>
      </c>
      <c r="M39" s="237">
        <v>2135</v>
      </c>
      <c r="N39" s="240" t="s">
        <v>538</v>
      </c>
      <c r="O39" s="248" t="s">
        <v>514</v>
      </c>
      <c r="P39" s="240" t="s">
        <v>539</v>
      </c>
      <c r="Q39" s="240" t="s">
        <v>380</v>
      </c>
      <c r="R39" s="238">
        <v>3703088</v>
      </c>
      <c r="S39" s="234">
        <v>48987767944</v>
      </c>
      <c r="T39" s="235" t="s">
        <v>52</v>
      </c>
      <c r="U39" s="236" t="s">
        <v>51</v>
      </c>
      <c r="V39" s="153"/>
      <c r="W39" s="153"/>
      <c r="X39" s="153"/>
      <c r="Y39" s="153"/>
      <c r="Z39" s="153"/>
      <c r="AA39" s="153"/>
      <c r="AB39" s="153"/>
    </row>
    <row r="40" spans="1:28" ht="15">
      <c r="A40" s="153"/>
      <c r="B40" s="153"/>
      <c r="C40" s="153"/>
      <c r="D40" s="153"/>
      <c r="E40" s="153"/>
      <c r="F40" s="153"/>
      <c r="G40" s="153"/>
      <c r="H40" s="153"/>
      <c r="I40" s="153"/>
      <c r="J40" s="153"/>
      <c r="K40" s="239">
        <f t="shared" si="1"/>
        <v>6</v>
      </c>
      <c r="L40" s="237" t="s">
        <v>2209</v>
      </c>
      <c r="M40" s="237">
        <v>2151</v>
      </c>
      <c r="N40" s="240" t="s">
        <v>466</v>
      </c>
      <c r="O40" s="158" t="s">
        <v>435</v>
      </c>
      <c r="P40" s="240" t="s">
        <v>467</v>
      </c>
      <c r="Q40" s="240" t="s">
        <v>437</v>
      </c>
      <c r="R40" s="238">
        <v>3334317</v>
      </c>
      <c r="S40" s="234" t="s">
        <v>468</v>
      </c>
      <c r="T40" s="235" t="s">
        <v>52</v>
      </c>
      <c r="U40" s="236" t="s">
        <v>51</v>
      </c>
      <c r="V40" s="153"/>
      <c r="W40" s="153"/>
      <c r="X40" s="153"/>
      <c r="Y40" s="153"/>
      <c r="Z40" s="153"/>
      <c r="AA40" s="153"/>
      <c r="AB40" s="153"/>
    </row>
    <row r="41" spans="1:28" ht="15">
      <c r="A41" s="153"/>
      <c r="B41" s="153"/>
      <c r="C41" s="153"/>
      <c r="D41" s="153"/>
      <c r="E41" s="153"/>
      <c r="F41" s="153"/>
      <c r="G41" s="153"/>
      <c r="H41" s="153"/>
      <c r="I41" s="153"/>
      <c r="J41" s="153"/>
      <c r="K41" s="239">
        <f t="shared" si="1"/>
        <v>7</v>
      </c>
      <c r="L41" s="237" t="s">
        <v>2204</v>
      </c>
      <c r="M41" s="237">
        <v>2160</v>
      </c>
      <c r="N41" s="240" t="s">
        <v>2153</v>
      </c>
      <c r="O41" s="247" t="s">
        <v>435</v>
      </c>
      <c r="P41" s="240" t="s">
        <v>452</v>
      </c>
      <c r="Q41" s="240" t="s">
        <v>437</v>
      </c>
      <c r="R41" s="238">
        <v>3395855</v>
      </c>
      <c r="S41" s="234" t="s">
        <v>453</v>
      </c>
      <c r="T41" s="235" t="s">
        <v>52</v>
      </c>
      <c r="U41" s="236" t="s">
        <v>51</v>
      </c>
      <c r="V41" s="153"/>
      <c r="W41" s="153"/>
      <c r="X41" s="153"/>
      <c r="Y41" s="153"/>
      <c r="Z41" s="153"/>
      <c r="AA41" s="153"/>
      <c r="AB41" s="153"/>
    </row>
    <row r="42" spans="1:28" ht="15">
      <c r="A42" s="153"/>
      <c r="B42" s="153"/>
      <c r="C42" s="153"/>
      <c r="D42" s="153"/>
      <c r="E42" s="153"/>
      <c r="F42" s="153"/>
      <c r="G42" s="153"/>
      <c r="H42" s="153"/>
      <c r="I42" s="153"/>
      <c r="J42" s="153"/>
      <c r="K42" s="239">
        <f t="shared" si="1"/>
        <v>8</v>
      </c>
      <c r="L42" s="237" t="s">
        <v>2201</v>
      </c>
      <c r="M42" s="237">
        <v>2186</v>
      </c>
      <c r="N42" s="240" t="s">
        <v>442</v>
      </c>
      <c r="O42" s="247" t="s">
        <v>435</v>
      </c>
      <c r="P42" s="240" t="s">
        <v>443</v>
      </c>
      <c r="Q42" s="240" t="s">
        <v>437</v>
      </c>
      <c r="R42" s="238">
        <v>3328627</v>
      </c>
      <c r="S42" s="234" t="s">
        <v>444</v>
      </c>
      <c r="T42" s="235" t="s">
        <v>52</v>
      </c>
      <c r="U42" s="236" t="s">
        <v>51</v>
      </c>
      <c r="V42" s="153"/>
      <c r="W42" s="153"/>
      <c r="X42" s="153"/>
      <c r="Y42" s="153"/>
      <c r="Z42" s="153"/>
      <c r="AA42" s="153"/>
      <c r="AB42" s="153"/>
    </row>
    <row r="43" spans="1:28" ht="15">
      <c r="A43" s="153"/>
      <c r="B43" s="153"/>
      <c r="C43" s="153"/>
      <c r="D43" s="153"/>
      <c r="E43" s="153"/>
      <c r="F43" s="153"/>
      <c r="G43" s="153"/>
      <c r="H43" s="153"/>
      <c r="I43" s="153"/>
      <c r="J43" s="153"/>
      <c r="K43" s="239">
        <f t="shared" si="1"/>
        <v>9</v>
      </c>
      <c r="L43" s="237" t="s">
        <v>2202</v>
      </c>
      <c r="M43" s="237">
        <v>2194</v>
      </c>
      <c r="N43" s="240" t="s">
        <v>445</v>
      </c>
      <c r="O43" s="247" t="s">
        <v>435</v>
      </c>
      <c r="P43" s="240" t="s">
        <v>446</v>
      </c>
      <c r="Q43" s="240" t="s">
        <v>447</v>
      </c>
      <c r="R43" s="238">
        <v>3091732</v>
      </c>
      <c r="S43" s="234" t="s">
        <v>448</v>
      </c>
      <c r="T43" s="235" t="s">
        <v>52</v>
      </c>
      <c r="U43" s="236" t="s">
        <v>51</v>
      </c>
      <c r="V43" s="153"/>
      <c r="W43" s="153"/>
      <c r="X43" s="153"/>
      <c r="Y43" s="153"/>
      <c r="Z43" s="153"/>
      <c r="AA43" s="153"/>
      <c r="AB43" s="153"/>
    </row>
    <row r="44" spans="1:28" ht="15">
      <c r="A44" s="153"/>
      <c r="B44" s="153"/>
      <c r="C44" s="153"/>
      <c r="D44" s="153"/>
      <c r="E44" s="153"/>
      <c r="F44" s="153"/>
      <c r="G44" s="153"/>
      <c r="H44" s="153"/>
      <c r="I44" s="153"/>
      <c r="J44" s="153"/>
      <c r="K44" s="239">
        <f t="shared" si="1"/>
        <v>10</v>
      </c>
      <c r="L44" s="237" t="s">
        <v>2207</v>
      </c>
      <c r="M44" s="237">
        <v>2217</v>
      </c>
      <c r="N44" s="240" t="s">
        <v>460</v>
      </c>
      <c r="O44" s="247" t="s">
        <v>435</v>
      </c>
      <c r="P44" s="240" t="s">
        <v>461</v>
      </c>
      <c r="Q44" s="240" t="s">
        <v>437</v>
      </c>
      <c r="R44" s="238">
        <v>3328562</v>
      </c>
      <c r="S44" s="234" t="s">
        <v>462</v>
      </c>
      <c r="T44" s="235" t="s">
        <v>52</v>
      </c>
      <c r="U44" s="236" t="s">
        <v>51</v>
      </c>
      <c r="V44" s="153"/>
      <c r="W44" s="153"/>
      <c r="X44" s="153"/>
      <c r="Y44" s="153"/>
      <c r="Z44" s="153"/>
      <c r="AA44" s="153"/>
      <c r="AB44" s="153"/>
    </row>
    <row r="45" spans="1:28" ht="15">
      <c r="A45" s="153"/>
      <c r="B45" s="153"/>
      <c r="C45" s="153"/>
      <c r="D45" s="153"/>
      <c r="E45" s="153"/>
      <c r="F45" s="153"/>
      <c r="G45" s="153"/>
      <c r="H45" s="153"/>
      <c r="I45" s="153"/>
      <c r="J45" s="153"/>
      <c r="K45" s="239">
        <f t="shared" si="1"/>
        <v>11</v>
      </c>
      <c r="L45" s="237" t="s">
        <v>2205</v>
      </c>
      <c r="M45" s="237">
        <v>2225</v>
      </c>
      <c r="N45" s="240" t="s">
        <v>454</v>
      </c>
      <c r="O45" s="247" t="s">
        <v>435</v>
      </c>
      <c r="P45" s="240" t="s">
        <v>455</v>
      </c>
      <c r="Q45" s="240" t="s">
        <v>437</v>
      </c>
      <c r="R45" s="238">
        <v>3328554</v>
      </c>
      <c r="S45" s="234" t="s">
        <v>456</v>
      </c>
      <c r="T45" s="235" t="s">
        <v>52</v>
      </c>
      <c r="U45" s="236" t="s">
        <v>51</v>
      </c>
      <c r="V45" s="153"/>
      <c r="W45" s="153"/>
      <c r="X45" s="153"/>
      <c r="Y45" s="153"/>
      <c r="Z45" s="153"/>
      <c r="AA45" s="153"/>
      <c r="AB45" s="153"/>
    </row>
    <row r="46" spans="1:28" ht="15">
      <c r="A46" s="153"/>
      <c r="B46" s="153"/>
      <c r="C46" s="153"/>
      <c r="D46" s="153"/>
      <c r="E46" s="153"/>
      <c r="F46" s="153"/>
      <c r="G46" s="153"/>
      <c r="H46" s="153"/>
      <c r="I46" s="153"/>
      <c r="J46" s="153"/>
      <c r="K46" s="239">
        <f t="shared" si="1"/>
        <v>12</v>
      </c>
      <c r="L46" s="237" t="s">
        <v>2186</v>
      </c>
      <c r="M46" s="237">
        <v>2250</v>
      </c>
      <c r="N46" s="240" t="s">
        <v>2147</v>
      </c>
      <c r="O46" s="247" t="s">
        <v>381</v>
      </c>
      <c r="P46" s="240" t="s">
        <v>2148</v>
      </c>
      <c r="Q46" s="240" t="s">
        <v>383</v>
      </c>
      <c r="R46" s="238">
        <v>3397335</v>
      </c>
      <c r="S46" s="234" t="s">
        <v>396</v>
      </c>
      <c r="T46" s="235" t="s">
        <v>52</v>
      </c>
      <c r="U46" s="236" t="s">
        <v>51</v>
      </c>
      <c r="V46" s="153"/>
      <c r="W46" s="153"/>
      <c r="X46" s="153"/>
      <c r="Y46" s="153"/>
      <c r="Z46" s="153"/>
      <c r="AA46" s="153"/>
      <c r="AB46" s="153"/>
    </row>
    <row r="47" spans="1:28" ht="15">
      <c r="A47" s="153"/>
      <c r="B47" s="153"/>
      <c r="C47" s="153"/>
      <c r="D47" s="153"/>
      <c r="E47" s="153"/>
      <c r="F47" s="153"/>
      <c r="G47" s="153"/>
      <c r="H47" s="153"/>
      <c r="I47" s="153"/>
      <c r="J47" s="153"/>
      <c r="K47" s="239">
        <f t="shared" si="1"/>
        <v>13</v>
      </c>
      <c r="L47" s="237" t="s">
        <v>2188</v>
      </c>
      <c r="M47" s="237">
        <v>2268</v>
      </c>
      <c r="N47" s="240" t="s">
        <v>2149</v>
      </c>
      <c r="O47" s="247" t="s">
        <v>381</v>
      </c>
      <c r="P47" s="240" t="s">
        <v>400</v>
      </c>
      <c r="Q47" s="240" t="s">
        <v>383</v>
      </c>
      <c r="R47" s="238">
        <v>3058212</v>
      </c>
      <c r="S47" s="234" t="s">
        <v>401</v>
      </c>
      <c r="T47" s="235" t="s">
        <v>52</v>
      </c>
      <c r="U47" s="236" t="s">
        <v>51</v>
      </c>
      <c r="V47" s="153"/>
      <c r="W47" s="153"/>
      <c r="X47" s="153"/>
      <c r="Y47" s="153"/>
      <c r="Z47" s="153"/>
      <c r="AA47" s="153"/>
      <c r="AB47" s="153"/>
    </row>
    <row r="48" spans="1:28" ht="15">
      <c r="A48" s="153"/>
      <c r="B48" s="153"/>
      <c r="C48" s="153"/>
      <c r="D48" s="153"/>
      <c r="E48" s="153"/>
      <c r="F48" s="153"/>
      <c r="G48" s="153"/>
      <c r="H48" s="153"/>
      <c r="I48" s="153"/>
      <c r="J48" s="153"/>
      <c r="K48" s="239">
        <f t="shared" si="1"/>
        <v>14</v>
      </c>
      <c r="L48" s="237" t="s">
        <v>2190</v>
      </c>
      <c r="M48" s="237">
        <v>2276</v>
      </c>
      <c r="N48" s="240" t="s">
        <v>406</v>
      </c>
      <c r="O48" s="247" t="s">
        <v>381</v>
      </c>
      <c r="P48" s="240" t="s">
        <v>407</v>
      </c>
      <c r="Q48" s="240" t="s">
        <v>383</v>
      </c>
      <c r="R48" s="238">
        <v>3058204</v>
      </c>
      <c r="S48" s="234" t="s">
        <v>408</v>
      </c>
      <c r="T48" s="235" t="s">
        <v>52</v>
      </c>
      <c r="U48" s="236" t="s">
        <v>51</v>
      </c>
      <c r="V48" s="153"/>
      <c r="W48" s="153"/>
      <c r="X48" s="153"/>
      <c r="Y48" s="153"/>
      <c r="Z48" s="153"/>
      <c r="AA48" s="153"/>
      <c r="AB48" s="153"/>
    </row>
    <row r="49" spans="1:28" ht="15">
      <c r="A49" s="153"/>
      <c r="B49" s="153"/>
      <c r="C49" s="153"/>
      <c r="D49" s="153"/>
      <c r="E49" s="153"/>
      <c r="F49" s="153"/>
      <c r="G49" s="153"/>
      <c r="H49" s="153"/>
      <c r="I49" s="153"/>
      <c r="J49" s="153"/>
      <c r="K49" s="239">
        <f t="shared" si="1"/>
        <v>15</v>
      </c>
      <c r="L49" s="237" t="s">
        <v>2182</v>
      </c>
      <c r="M49" s="237">
        <v>2284</v>
      </c>
      <c r="N49" s="240" t="s">
        <v>385</v>
      </c>
      <c r="O49" s="247" t="s">
        <v>381</v>
      </c>
      <c r="P49" s="240" t="s">
        <v>386</v>
      </c>
      <c r="Q49" s="240" t="s">
        <v>383</v>
      </c>
      <c r="R49" s="238">
        <v>3021645</v>
      </c>
      <c r="S49" s="234" t="s">
        <v>387</v>
      </c>
      <c r="T49" s="235" t="s">
        <v>52</v>
      </c>
      <c r="U49" s="236" t="s">
        <v>51</v>
      </c>
      <c r="V49" s="153"/>
      <c r="W49" s="153"/>
      <c r="X49" s="153"/>
      <c r="Y49" s="153"/>
      <c r="Z49" s="153"/>
      <c r="AA49" s="153"/>
      <c r="AB49" s="153"/>
    </row>
    <row r="50" spans="1:28" ht="15">
      <c r="A50" s="153"/>
      <c r="B50" s="153"/>
      <c r="C50" s="153"/>
      <c r="D50" s="153"/>
      <c r="E50" s="153"/>
      <c r="F50" s="153"/>
      <c r="G50" s="153"/>
      <c r="H50" s="153"/>
      <c r="I50" s="153"/>
      <c r="J50" s="153"/>
      <c r="K50" s="239">
        <f t="shared" si="1"/>
        <v>16</v>
      </c>
      <c r="L50" s="237" t="s">
        <v>2189</v>
      </c>
      <c r="M50" s="237">
        <v>2292</v>
      </c>
      <c r="N50" s="240" t="s">
        <v>402</v>
      </c>
      <c r="O50" s="247" t="s">
        <v>381</v>
      </c>
      <c r="P50" s="240" t="s">
        <v>403</v>
      </c>
      <c r="Q50" s="240" t="s">
        <v>404</v>
      </c>
      <c r="R50" s="238">
        <v>3014193</v>
      </c>
      <c r="S50" s="234" t="s">
        <v>405</v>
      </c>
      <c r="T50" s="235" t="s">
        <v>52</v>
      </c>
      <c r="U50" s="236" t="s">
        <v>51</v>
      </c>
      <c r="V50" s="153"/>
      <c r="W50" s="153"/>
      <c r="X50" s="153"/>
      <c r="Y50" s="153"/>
      <c r="Z50" s="153"/>
      <c r="AA50" s="153"/>
      <c r="AB50" s="153"/>
    </row>
    <row r="51" spans="1:28" ht="15">
      <c r="A51" s="153"/>
      <c r="B51" s="153"/>
      <c r="C51" s="153"/>
      <c r="D51" s="153"/>
      <c r="E51" s="153"/>
      <c r="F51" s="153"/>
      <c r="G51" s="153"/>
      <c r="H51" s="153"/>
      <c r="I51" s="153"/>
      <c r="J51" s="153"/>
      <c r="K51" s="239">
        <f t="shared" si="1"/>
        <v>17</v>
      </c>
      <c r="L51" s="237" t="s">
        <v>2183</v>
      </c>
      <c r="M51" s="237">
        <v>2313</v>
      </c>
      <c r="N51" s="240" t="s">
        <v>2146</v>
      </c>
      <c r="O51" s="247" t="s">
        <v>381</v>
      </c>
      <c r="P51" s="240" t="s">
        <v>388</v>
      </c>
      <c r="Q51" s="240" t="s">
        <v>383</v>
      </c>
      <c r="R51" s="238">
        <v>3392589</v>
      </c>
      <c r="S51" s="234" t="s">
        <v>389</v>
      </c>
      <c r="T51" s="235" t="s">
        <v>52</v>
      </c>
      <c r="U51" s="236" t="s">
        <v>51</v>
      </c>
      <c r="V51" s="153"/>
      <c r="W51" s="153"/>
      <c r="X51" s="153"/>
      <c r="Y51" s="153"/>
      <c r="Z51" s="153"/>
      <c r="AA51" s="153"/>
      <c r="AB51" s="153"/>
    </row>
    <row r="52" spans="1:28" ht="15">
      <c r="A52" s="153"/>
      <c r="B52" s="153"/>
      <c r="C52" s="153"/>
      <c r="D52" s="153"/>
      <c r="E52" s="153"/>
      <c r="F52" s="153"/>
      <c r="G52" s="153"/>
      <c r="H52" s="153"/>
      <c r="I52" s="153"/>
      <c r="J52" s="153"/>
      <c r="K52" s="239">
        <f t="shared" si="1"/>
        <v>18</v>
      </c>
      <c r="L52" s="237" t="s">
        <v>2184</v>
      </c>
      <c r="M52" s="237">
        <v>2321</v>
      </c>
      <c r="N52" s="240" t="s">
        <v>390</v>
      </c>
      <c r="O52" s="247" t="s">
        <v>381</v>
      </c>
      <c r="P52" s="240" t="s">
        <v>391</v>
      </c>
      <c r="Q52" s="240" t="s">
        <v>383</v>
      </c>
      <c r="R52" s="238">
        <v>3014185</v>
      </c>
      <c r="S52" s="234" t="s">
        <v>392</v>
      </c>
      <c r="T52" s="235" t="s">
        <v>52</v>
      </c>
      <c r="U52" s="236" t="s">
        <v>51</v>
      </c>
      <c r="V52" s="153"/>
      <c r="W52" s="153"/>
      <c r="X52" s="153"/>
      <c r="Y52" s="153"/>
      <c r="Z52" s="153"/>
      <c r="AA52" s="153"/>
      <c r="AB52" s="153"/>
    </row>
    <row r="53" spans="1:28" ht="15">
      <c r="A53" s="153"/>
      <c r="B53" s="153"/>
      <c r="C53" s="153"/>
      <c r="D53" s="153"/>
      <c r="E53" s="153"/>
      <c r="F53" s="153"/>
      <c r="G53" s="153"/>
      <c r="H53" s="153"/>
      <c r="I53" s="153"/>
      <c r="J53" s="153"/>
      <c r="K53" s="239">
        <f t="shared" si="1"/>
        <v>19</v>
      </c>
      <c r="L53" s="237" t="s">
        <v>2214</v>
      </c>
      <c r="M53" s="237">
        <v>2330</v>
      </c>
      <c r="N53" s="240" t="s">
        <v>482</v>
      </c>
      <c r="O53" s="241" t="s">
        <v>476</v>
      </c>
      <c r="P53" s="240" t="s">
        <v>483</v>
      </c>
      <c r="Q53" s="240" t="s">
        <v>477</v>
      </c>
      <c r="R53" s="238">
        <v>3118339</v>
      </c>
      <c r="S53" s="234" t="s">
        <v>484</v>
      </c>
      <c r="T53" s="235" t="s">
        <v>52</v>
      </c>
      <c r="U53" s="236" t="s">
        <v>51</v>
      </c>
      <c r="V53" s="153"/>
      <c r="W53" s="153"/>
      <c r="X53" s="153"/>
      <c r="Y53" s="153"/>
      <c r="Z53" s="153"/>
      <c r="AA53" s="153"/>
      <c r="AB53" s="153"/>
    </row>
    <row r="54" spans="1:28" ht="15">
      <c r="A54" s="153"/>
      <c r="B54" s="153"/>
      <c r="C54" s="153"/>
      <c r="D54" s="153"/>
      <c r="E54" s="153"/>
      <c r="F54" s="153"/>
      <c r="G54" s="153"/>
      <c r="H54" s="153"/>
      <c r="I54" s="153"/>
      <c r="J54" s="153"/>
      <c r="K54" s="239">
        <f t="shared" si="1"/>
        <v>20</v>
      </c>
      <c r="L54" s="237" t="s">
        <v>2216</v>
      </c>
      <c r="M54" s="237">
        <v>2348</v>
      </c>
      <c r="N54" s="240" t="s">
        <v>488</v>
      </c>
      <c r="O54" s="241" t="s">
        <v>476</v>
      </c>
      <c r="P54" s="240" t="s">
        <v>489</v>
      </c>
      <c r="Q54" s="240" t="s">
        <v>477</v>
      </c>
      <c r="R54" s="238">
        <v>3149463</v>
      </c>
      <c r="S54" s="234" t="s">
        <v>490</v>
      </c>
      <c r="T54" s="235" t="s">
        <v>52</v>
      </c>
      <c r="U54" s="236" t="s">
        <v>51</v>
      </c>
      <c r="V54" s="153"/>
      <c r="W54" s="153"/>
      <c r="X54" s="153"/>
      <c r="Y54" s="153"/>
      <c r="Z54" s="153"/>
      <c r="AA54" s="153"/>
      <c r="AB54" s="153"/>
    </row>
    <row r="55" spans="1:28" ht="15">
      <c r="A55" s="153"/>
      <c r="B55" s="153"/>
      <c r="C55" s="153"/>
      <c r="D55" s="153"/>
      <c r="E55" s="153"/>
      <c r="F55" s="153"/>
      <c r="G55" s="153"/>
      <c r="H55" s="153"/>
      <c r="I55" s="153"/>
      <c r="J55" s="153"/>
      <c r="K55" s="239">
        <f t="shared" si="1"/>
        <v>21</v>
      </c>
      <c r="L55" s="237" t="s">
        <v>2217</v>
      </c>
      <c r="M55" s="237">
        <v>2356</v>
      </c>
      <c r="N55" s="240" t="s">
        <v>491</v>
      </c>
      <c r="O55" s="241" t="s">
        <v>476</v>
      </c>
      <c r="P55" s="240" t="s">
        <v>2154</v>
      </c>
      <c r="Q55" s="240" t="s">
        <v>477</v>
      </c>
      <c r="R55" s="238">
        <v>3119068</v>
      </c>
      <c r="S55" s="234" t="s">
        <v>492</v>
      </c>
      <c r="T55" s="235" t="s">
        <v>52</v>
      </c>
      <c r="U55" s="236" t="s">
        <v>51</v>
      </c>
      <c r="V55" s="153"/>
      <c r="W55" s="153"/>
      <c r="X55" s="153"/>
      <c r="Y55" s="153"/>
      <c r="Z55" s="153"/>
      <c r="AA55" s="153"/>
      <c r="AB55" s="153"/>
    </row>
    <row r="56" spans="1:28" ht="15">
      <c r="A56" s="153"/>
      <c r="B56" s="153"/>
      <c r="C56" s="153"/>
      <c r="D56" s="153"/>
      <c r="E56" s="153"/>
      <c r="F56" s="153"/>
      <c r="G56" s="153"/>
      <c r="H56" s="153"/>
      <c r="I56" s="153"/>
      <c r="J56" s="153"/>
      <c r="K56" s="239">
        <f t="shared" si="1"/>
        <v>22</v>
      </c>
      <c r="L56" s="237" t="s">
        <v>2213</v>
      </c>
      <c r="M56" s="237">
        <v>2372</v>
      </c>
      <c r="N56" s="240" t="s">
        <v>479</v>
      </c>
      <c r="O56" s="241" t="s">
        <v>476</v>
      </c>
      <c r="P56" s="240" t="s">
        <v>480</v>
      </c>
      <c r="Q56" s="240" t="s">
        <v>477</v>
      </c>
      <c r="R56" s="238">
        <v>3119076</v>
      </c>
      <c r="S56" s="234" t="s">
        <v>481</v>
      </c>
      <c r="T56" s="235" t="s">
        <v>52</v>
      </c>
      <c r="U56" s="236" t="s">
        <v>51</v>
      </c>
      <c r="V56" s="153"/>
      <c r="W56" s="153"/>
      <c r="X56" s="153"/>
      <c r="Y56" s="153"/>
      <c r="Z56" s="153"/>
      <c r="AA56" s="153"/>
      <c r="AB56" s="153"/>
    </row>
    <row r="57" spans="1:28" ht="15">
      <c r="A57" s="153"/>
      <c r="B57" s="153"/>
      <c r="C57" s="153"/>
      <c r="D57" s="153"/>
      <c r="E57" s="153"/>
      <c r="F57" s="153"/>
      <c r="G57" s="153"/>
      <c r="H57" s="153"/>
      <c r="I57" s="153"/>
      <c r="J57" s="153"/>
      <c r="K57" s="239">
        <f t="shared" si="1"/>
        <v>23</v>
      </c>
      <c r="L57" s="237" t="s">
        <v>2222</v>
      </c>
      <c r="M57" s="237">
        <v>2397</v>
      </c>
      <c r="N57" s="240" t="s">
        <v>503</v>
      </c>
      <c r="O57" s="241" t="s">
        <v>476</v>
      </c>
      <c r="P57" s="240" t="s">
        <v>504</v>
      </c>
      <c r="Q57" s="240" t="s">
        <v>477</v>
      </c>
      <c r="R57" s="238">
        <v>3118347</v>
      </c>
      <c r="S57" s="234" t="s">
        <v>505</v>
      </c>
      <c r="T57" s="235" t="s">
        <v>52</v>
      </c>
      <c r="U57" s="236" t="s">
        <v>51</v>
      </c>
      <c r="V57" s="153"/>
      <c r="W57" s="153"/>
      <c r="X57" s="153"/>
      <c r="Y57" s="153"/>
      <c r="Z57" s="153"/>
      <c r="AA57" s="153"/>
      <c r="AB57" s="153"/>
    </row>
    <row r="58" spans="1:28" ht="15">
      <c r="A58" s="153"/>
      <c r="B58" s="153"/>
      <c r="C58" s="153"/>
      <c r="D58" s="153"/>
      <c r="E58" s="153"/>
      <c r="F58" s="153"/>
      <c r="G58" s="153"/>
      <c r="H58" s="153"/>
      <c r="I58" s="153"/>
      <c r="J58" s="153"/>
      <c r="K58" s="239">
        <f t="shared" si="1"/>
        <v>24</v>
      </c>
      <c r="L58" s="237" t="s">
        <v>2223</v>
      </c>
      <c r="M58" s="237">
        <v>2410</v>
      </c>
      <c r="N58" s="240" t="s">
        <v>506</v>
      </c>
      <c r="O58" s="241" t="s">
        <v>476</v>
      </c>
      <c r="P58" s="240" t="s">
        <v>2156</v>
      </c>
      <c r="Q58" s="240" t="s">
        <v>477</v>
      </c>
      <c r="R58" s="238">
        <v>3199622</v>
      </c>
      <c r="S58" s="234" t="s">
        <v>507</v>
      </c>
      <c r="T58" s="235" t="s">
        <v>52</v>
      </c>
      <c r="U58" s="236" t="s">
        <v>51</v>
      </c>
      <c r="V58" s="153"/>
      <c r="W58" s="153"/>
      <c r="X58" s="153"/>
      <c r="Y58" s="153"/>
      <c r="Z58" s="153"/>
      <c r="AA58" s="153"/>
      <c r="AB58" s="153"/>
    </row>
    <row r="59" spans="1:28" ht="15">
      <c r="A59" s="153"/>
      <c r="B59" s="153"/>
      <c r="C59" s="153"/>
      <c r="D59" s="153"/>
      <c r="E59" s="153"/>
      <c r="F59" s="153"/>
      <c r="G59" s="153"/>
      <c r="H59" s="153"/>
      <c r="I59" s="153"/>
      <c r="J59" s="153"/>
      <c r="K59" s="239">
        <f t="shared" si="1"/>
        <v>25</v>
      </c>
      <c r="L59" s="237" t="s">
        <v>2227</v>
      </c>
      <c r="M59" s="237">
        <v>2436</v>
      </c>
      <c r="N59" s="240" t="s">
        <v>514</v>
      </c>
      <c r="O59" s="241" t="s">
        <v>514</v>
      </c>
      <c r="P59" s="240" t="s">
        <v>582</v>
      </c>
      <c r="Q59" s="240" t="s">
        <v>380</v>
      </c>
      <c r="R59" s="238">
        <v>3211592</v>
      </c>
      <c r="S59" s="234" t="s">
        <v>515</v>
      </c>
      <c r="T59" s="235" t="s">
        <v>52</v>
      </c>
      <c r="U59" s="236" t="s">
        <v>51</v>
      </c>
      <c r="V59" s="153"/>
      <c r="W59" s="153"/>
      <c r="X59" s="153"/>
      <c r="Y59" s="153"/>
      <c r="Z59" s="153"/>
      <c r="AA59" s="153"/>
      <c r="AB59" s="153"/>
    </row>
    <row r="60" spans="1:28" ht="15">
      <c r="A60" s="153"/>
      <c r="B60" s="153"/>
      <c r="C60" s="153"/>
      <c r="D60" s="153"/>
      <c r="E60" s="153"/>
      <c r="F60" s="153"/>
      <c r="G60" s="153"/>
      <c r="H60" s="153"/>
      <c r="I60" s="153"/>
      <c r="J60" s="153"/>
      <c r="K60" s="239">
        <f t="shared" si="1"/>
        <v>26</v>
      </c>
      <c r="L60" s="237" t="s">
        <v>2199</v>
      </c>
      <c r="M60" s="237">
        <v>2444</v>
      </c>
      <c r="N60" s="240" t="s">
        <v>435</v>
      </c>
      <c r="O60" s="247" t="s">
        <v>435</v>
      </c>
      <c r="P60" s="240" t="s">
        <v>436</v>
      </c>
      <c r="Q60" s="240" t="s">
        <v>437</v>
      </c>
      <c r="R60" s="238">
        <v>3337413</v>
      </c>
      <c r="S60" s="234" t="s">
        <v>438</v>
      </c>
      <c r="T60" s="235" t="s">
        <v>52</v>
      </c>
      <c r="U60" s="236" t="s">
        <v>51</v>
      </c>
      <c r="V60" s="153"/>
      <c r="W60" s="153"/>
      <c r="X60" s="153"/>
      <c r="Y60" s="153"/>
      <c r="Z60" s="153"/>
      <c r="AA60" s="153"/>
      <c r="AB60" s="153"/>
    </row>
    <row r="61" spans="1:28" ht="15">
      <c r="A61" s="153"/>
      <c r="B61" s="153"/>
      <c r="C61" s="153"/>
      <c r="D61" s="153"/>
      <c r="E61" s="153"/>
      <c r="F61" s="153"/>
      <c r="G61" s="153"/>
      <c r="H61" s="153"/>
      <c r="I61" s="153"/>
      <c r="J61" s="153"/>
      <c r="K61" s="239">
        <f t="shared" si="1"/>
        <v>27</v>
      </c>
      <c r="L61" s="237" t="s">
        <v>2181</v>
      </c>
      <c r="M61" s="237">
        <v>2452</v>
      </c>
      <c r="N61" s="240" t="s">
        <v>381</v>
      </c>
      <c r="O61" s="247" t="s">
        <v>381</v>
      </c>
      <c r="P61" s="240" t="s">
        <v>382</v>
      </c>
      <c r="Q61" s="240" t="s">
        <v>383</v>
      </c>
      <c r="R61" s="238">
        <v>3049779</v>
      </c>
      <c r="S61" s="234" t="s">
        <v>384</v>
      </c>
      <c r="T61" s="235" t="s">
        <v>52</v>
      </c>
      <c r="U61" s="236" t="s">
        <v>51</v>
      </c>
      <c r="V61" s="153"/>
      <c r="W61" s="153"/>
      <c r="X61" s="153"/>
      <c r="Y61" s="153"/>
      <c r="Z61" s="153"/>
      <c r="AA61" s="153"/>
      <c r="AB61" s="153"/>
    </row>
    <row r="62" spans="1:28" ht="15">
      <c r="A62" s="153"/>
      <c r="B62" s="153"/>
      <c r="C62" s="153"/>
      <c r="D62" s="153"/>
      <c r="E62" s="153"/>
      <c r="F62" s="153"/>
      <c r="G62" s="153"/>
      <c r="H62" s="153"/>
      <c r="I62" s="153"/>
      <c r="J62" s="153"/>
      <c r="K62" s="239">
        <f t="shared" si="1"/>
        <v>28</v>
      </c>
      <c r="L62" s="237" t="s">
        <v>2212</v>
      </c>
      <c r="M62" s="237">
        <v>2469</v>
      </c>
      <c r="N62" s="240" t="s">
        <v>476</v>
      </c>
      <c r="O62" s="241" t="s">
        <v>476</v>
      </c>
      <c r="P62" s="240" t="s">
        <v>486</v>
      </c>
      <c r="Q62" s="240" t="s">
        <v>477</v>
      </c>
      <c r="R62" s="238">
        <v>3129306</v>
      </c>
      <c r="S62" s="234" t="s">
        <v>478</v>
      </c>
      <c r="T62" s="235" t="s">
        <v>52</v>
      </c>
      <c r="U62" s="236" t="s">
        <v>51</v>
      </c>
      <c r="V62" s="153"/>
      <c r="W62" s="153"/>
      <c r="X62" s="153"/>
      <c r="Y62" s="153"/>
      <c r="Z62" s="153"/>
      <c r="AA62" s="153"/>
      <c r="AB62" s="153"/>
    </row>
    <row r="63" spans="1:28" ht="15">
      <c r="A63" s="153"/>
      <c r="B63" s="153"/>
      <c r="C63" s="153"/>
      <c r="D63" s="153"/>
      <c r="E63" s="153"/>
      <c r="F63" s="153"/>
      <c r="G63" s="153"/>
      <c r="H63" s="153"/>
      <c r="I63" s="153"/>
      <c r="J63" s="153"/>
      <c r="K63" s="239">
        <f t="shared" si="1"/>
        <v>29</v>
      </c>
      <c r="L63" s="237" t="s">
        <v>2208</v>
      </c>
      <c r="M63" s="237">
        <v>2493</v>
      </c>
      <c r="N63" s="240" t="s">
        <v>463</v>
      </c>
      <c r="O63" s="247" t="s">
        <v>435</v>
      </c>
      <c r="P63" s="240" t="s">
        <v>464</v>
      </c>
      <c r="Q63" s="240" t="s">
        <v>437</v>
      </c>
      <c r="R63" s="238">
        <v>3328686</v>
      </c>
      <c r="S63" s="234" t="s">
        <v>465</v>
      </c>
      <c r="T63" s="235" t="s">
        <v>52</v>
      </c>
      <c r="U63" s="236" t="s">
        <v>51</v>
      </c>
      <c r="V63" s="153"/>
      <c r="W63" s="153"/>
      <c r="X63" s="153"/>
      <c r="Y63" s="153"/>
      <c r="Z63" s="153"/>
      <c r="AA63" s="153"/>
      <c r="AB63" s="153"/>
    </row>
    <row r="64" spans="1:28" ht="15">
      <c r="A64" s="153"/>
      <c r="B64" s="153"/>
      <c r="C64" s="153"/>
      <c r="D64" s="153"/>
      <c r="E64" s="153"/>
      <c r="F64" s="153"/>
      <c r="G64" s="153"/>
      <c r="H64" s="153"/>
      <c r="I64" s="153"/>
      <c r="J64" s="153"/>
      <c r="K64" s="239">
        <f t="shared" si="1"/>
        <v>30</v>
      </c>
      <c r="L64" s="237" t="s">
        <v>2185</v>
      </c>
      <c r="M64" s="237">
        <v>2508</v>
      </c>
      <c r="N64" s="242" t="s">
        <v>393</v>
      </c>
      <c r="O64" s="247" t="s">
        <v>381</v>
      </c>
      <c r="P64" s="242" t="s">
        <v>394</v>
      </c>
      <c r="Q64" s="242" t="s">
        <v>383</v>
      </c>
      <c r="R64" s="243">
        <v>3014347</v>
      </c>
      <c r="S64" s="234" t="s">
        <v>395</v>
      </c>
      <c r="T64" s="235" t="s">
        <v>52</v>
      </c>
      <c r="U64" s="236" t="s">
        <v>51</v>
      </c>
      <c r="V64" s="153"/>
      <c r="W64" s="153"/>
      <c r="X64" s="153"/>
      <c r="Y64" s="153"/>
      <c r="Z64" s="153"/>
      <c r="AA64" s="153"/>
      <c r="AB64" s="153"/>
    </row>
    <row r="65" spans="1:28" ht="15">
      <c r="A65" s="153"/>
      <c r="B65" s="153"/>
      <c r="C65" s="153"/>
      <c r="D65" s="153"/>
      <c r="E65" s="153"/>
      <c r="F65" s="153"/>
      <c r="G65" s="153"/>
      <c r="H65" s="153"/>
      <c r="I65" s="153"/>
      <c r="J65" s="153"/>
      <c r="K65" s="239">
        <f t="shared" si="1"/>
        <v>31</v>
      </c>
      <c r="L65" s="237" t="s">
        <v>2224</v>
      </c>
      <c r="M65" s="237">
        <v>2524</v>
      </c>
      <c r="N65" s="240" t="s">
        <v>508</v>
      </c>
      <c r="O65" s="241" t="s">
        <v>476</v>
      </c>
      <c r="P65" s="240" t="s">
        <v>509</v>
      </c>
      <c r="Q65" s="240" t="s">
        <v>477</v>
      </c>
      <c r="R65" s="238">
        <v>3118436</v>
      </c>
      <c r="S65" s="234" t="s">
        <v>510</v>
      </c>
      <c r="T65" s="235" t="s">
        <v>52</v>
      </c>
      <c r="U65" s="236" t="s">
        <v>51</v>
      </c>
      <c r="V65" s="153"/>
      <c r="W65" s="153"/>
      <c r="X65" s="153"/>
      <c r="Y65" s="153"/>
      <c r="Z65" s="153"/>
      <c r="AA65" s="153"/>
      <c r="AB65" s="153"/>
    </row>
    <row r="66" spans="1:28" ht="15">
      <c r="A66" s="153"/>
      <c r="B66" s="153"/>
      <c r="C66" s="153"/>
      <c r="D66" s="153"/>
      <c r="E66" s="153"/>
      <c r="F66" s="153"/>
      <c r="G66" s="153"/>
      <c r="H66" s="153"/>
      <c r="I66" s="153"/>
      <c r="J66" s="153"/>
      <c r="K66" s="239">
        <f t="shared" si="1"/>
        <v>32</v>
      </c>
      <c r="L66" s="237" t="s">
        <v>2235</v>
      </c>
      <c r="M66" s="237">
        <v>6154</v>
      </c>
      <c r="N66" s="240" t="s">
        <v>2159</v>
      </c>
      <c r="O66" s="241" t="s">
        <v>514</v>
      </c>
      <c r="P66" s="240" t="s">
        <v>536</v>
      </c>
      <c r="Q66" s="240" t="s">
        <v>380</v>
      </c>
      <c r="R66" s="238">
        <v>1235664</v>
      </c>
      <c r="S66" s="234" t="s">
        <v>537</v>
      </c>
      <c r="T66" s="235" t="s">
        <v>52</v>
      </c>
      <c r="U66" s="236" t="s">
        <v>51</v>
      </c>
      <c r="V66" s="153"/>
      <c r="W66" s="153"/>
      <c r="X66" s="153"/>
      <c r="Y66" s="153"/>
      <c r="Z66" s="153"/>
      <c r="AA66" s="153"/>
      <c r="AB66" s="153"/>
    </row>
    <row r="67" spans="1:28" ht="15">
      <c r="A67" s="153"/>
      <c r="B67" s="153"/>
      <c r="C67" s="153"/>
      <c r="D67" s="153"/>
      <c r="E67" s="153"/>
      <c r="F67" s="153"/>
      <c r="G67" s="153"/>
      <c r="H67" s="153"/>
      <c r="I67" s="153"/>
      <c r="J67" s="153"/>
      <c r="K67" s="239">
        <f t="shared" si="1"/>
        <v>33</v>
      </c>
      <c r="L67" s="237" t="s">
        <v>2264</v>
      </c>
      <c r="M67" s="237">
        <v>21053</v>
      </c>
      <c r="N67" s="240" t="s">
        <v>629</v>
      </c>
      <c r="O67" s="241" t="s">
        <v>610</v>
      </c>
      <c r="P67" s="240" t="s">
        <v>630</v>
      </c>
      <c r="Q67" s="240" t="s">
        <v>631</v>
      </c>
      <c r="R67" s="238">
        <v>1286030</v>
      </c>
      <c r="S67" s="234" t="s">
        <v>632</v>
      </c>
      <c r="T67" s="235" t="s">
        <v>52</v>
      </c>
      <c r="U67" s="236" t="s">
        <v>51</v>
      </c>
      <c r="V67" s="153"/>
      <c r="W67" s="153"/>
      <c r="X67" s="153"/>
      <c r="Y67" s="153"/>
      <c r="Z67" s="153"/>
      <c r="AA67" s="153"/>
      <c r="AB67" s="153"/>
    </row>
    <row r="68" spans="1:28" ht="15">
      <c r="A68" s="153"/>
      <c r="B68" s="153"/>
      <c r="C68" s="153"/>
      <c r="D68" s="153"/>
      <c r="E68" s="153"/>
      <c r="F68" s="153"/>
      <c r="G68" s="153"/>
      <c r="H68" s="153"/>
      <c r="I68" s="153"/>
      <c r="J68" s="153"/>
      <c r="K68" s="239">
        <f t="shared" ref="K68:K99" si="2">+K67+1</f>
        <v>34</v>
      </c>
      <c r="L68" s="237" t="s">
        <v>2270</v>
      </c>
      <c r="M68" s="237">
        <v>22371</v>
      </c>
      <c r="N68" s="240" t="s">
        <v>648</v>
      </c>
      <c r="O68" s="241" t="s">
        <v>610</v>
      </c>
      <c r="P68" s="240" t="s">
        <v>649</v>
      </c>
      <c r="Q68" s="240" t="s">
        <v>650</v>
      </c>
      <c r="R68" s="238">
        <v>1411942</v>
      </c>
      <c r="S68" s="234" t="s">
        <v>651</v>
      </c>
      <c r="T68" s="235" t="s">
        <v>52</v>
      </c>
      <c r="U68" s="236" t="s">
        <v>51</v>
      </c>
      <c r="V68" s="153"/>
      <c r="W68" s="153"/>
      <c r="X68" s="153"/>
      <c r="Y68" s="153"/>
      <c r="Z68" s="153"/>
      <c r="AA68" s="153"/>
      <c r="AB68" s="153"/>
    </row>
    <row r="69" spans="1:28" ht="15">
      <c r="A69" s="153"/>
      <c r="B69" s="153"/>
      <c r="C69" s="153"/>
      <c r="D69" s="153"/>
      <c r="E69" s="153"/>
      <c r="F69" s="153"/>
      <c r="G69" s="153"/>
      <c r="H69" s="153"/>
      <c r="I69" s="153"/>
      <c r="J69" s="153"/>
      <c r="K69" s="239">
        <f t="shared" si="2"/>
        <v>35</v>
      </c>
      <c r="L69" s="237" t="s">
        <v>2265</v>
      </c>
      <c r="M69" s="237">
        <v>22398</v>
      </c>
      <c r="N69" s="240" t="s">
        <v>633</v>
      </c>
      <c r="O69" s="241" t="s">
        <v>610</v>
      </c>
      <c r="P69" s="240" t="s">
        <v>634</v>
      </c>
      <c r="Q69" s="240" t="s">
        <v>635</v>
      </c>
      <c r="R69" s="238">
        <v>1395521</v>
      </c>
      <c r="S69" s="234" t="s">
        <v>636</v>
      </c>
      <c r="T69" s="235" t="s">
        <v>52</v>
      </c>
      <c r="U69" s="236" t="s">
        <v>51</v>
      </c>
      <c r="V69" s="153"/>
      <c r="W69" s="153"/>
      <c r="X69" s="153"/>
      <c r="Y69" s="153"/>
      <c r="Z69" s="153"/>
      <c r="AA69" s="153"/>
      <c r="AB69" s="153"/>
    </row>
    <row r="70" spans="1:28" ht="15">
      <c r="A70" s="153"/>
      <c r="B70" s="153"/>
      <c r="C70" s="153"/>
      <c r="D70" s="153"/>
      <c r="E70" s="153"/>
      <c r="F70" s="153"/>
      <c r="G70" s="153"/>
      <c r="H70" s="153"/>
      <c r="I70" s="153"/>
      <c r="J70" s="153"/>
      <c r="K70" s="239">
        <f t="shared" si="2"/>
        <v>36</v>
      </c>
      <c r="L70" s="237" t="s">
        <v>2260</v>
      </c>
      <c r="M70" s="237">
        <v>22427</v>
      </c>
      <c r="N70" s="240" t="s">
        <v>614</v>
      </c>
      <c r="O70" s="241" t="s">
        <v>610</v>
      </c>
      <c r="P70" s="240" t="s">
        <v>615</v>
      </c>
      <c r="Q70" s="240" t="s">
        <v>380</v>
      </c>
      <c r="R70" s="238">
        <v>1398270</v>
      </c>
      <c r="S70" s="234" t="s">
        <v>616</v>
      </c>
      <c r="T70" s="235" t="s">
        <v>52</v>
      </c>
      <c r="U70" s="236" t="s">
        <v>51</v>
      </c>
      <c r="V70" s="153"/>
      <c r="W70" s="153"/>
      <c r="X70" s="153"/>
      <c r="Y70" s="153"/>
      <c r="Z70" s="153"/>
      <c r="AA70" s="153"/>
      <c r="AB70" s="153"/>
    </row>
    <row r="71" spans="1:28" ht="15">
      <c r="A71" s="153"/>
      <c r="B71" s="153"/>
      <c r="C71" s="153"/>
      <c r="D71" s="153"/>
      <c r="E71" s="153"/>
      <c r="F71" s="153"/>
      <c r="G71" s="153"/>
      <c r="H71" s="153"/>
      <c r="I71" s="153"/>
      <c r="J71" s="153"/>
      <c r="K71" s="239">
        <f t="shared" si="2"/>
        <v>37</v>
      </c>
      <c r="L71" s="237" t="s">
        <v>2215</v>
      </c>
      <c r="M71" s="237">
        <v>22435</v>
      </c>
      <c r="N71" s="240" t="s">
        <v>485</v>
      </c>
      <c r="O71" s="241" t="s">
        <v>476</v>
      </c>
      <c r="P71" s="240" t="s">
        <v>486</v>
      </c>
      <c r="Q71" s="240" t="s">
        <v>477</v>
      </c>
      <c r="R71" s="238">
        <v>1413236</v>
      </c>
      <c r="S71" s="234" t="s">
        <v>487</v>
      </c>
      <c r="T71" s="235" t="s">
        <v>52</v>
      </c>
      <c r="U71" s="236" t="s">
        <v>51</v>
      </c>
      <c r="V71" s="153"/>
      <c r="W71" s="153"/>
      <c r="X71" s="153"/>
      <c r="Y71" s="153"/>
      <c r="Z71" s="153"/>
      <c r="AA71" s="153"/>
      <c r="AB71" s="153"/>
    </row>
    <row r="72" spans="1:28" ht="15">
      <c r="A72" s="153"/>
      <c r="B72" s="153"/>
      <c r="C72" s="153"/>
      <c r="D72" s="153"/>
      <c r="E72" s="153"/>
      <c r="F72" s="153"/>
      <c r="G72" s="153"/>
      <c r="H72" s="153"/>
      <c r="I72" s="153"/>
      <c r="J72" s="153"/>
      <c r="K72" s="239">
        <f t="shared" si="2"/>
        <v>38</v>
      </c>
      <c r="L72" s="237" t="s">
        <v>2220</v>
      </c>
      <c r="M72" s="237">
        <v>22451</v>
      </c>
      <c r="N72" s="240" t="s">
        <v>498</v>
      </c>
      <c r="O72" s="241" t="s">
        <v>476</v>
      </c>
      <c r="P72" s="240" t="s">
        <v>499</v>
      </c>
      <c r="Q72" s="240" t="s">
        <v>477</v>
      </c>
      <c r="R72" s="238">
        <v>1315366</v>
      </c>
      <c r="S72" s="234" t="s">
        <v>500</v>
      </c>
      <c r="T72" s="235" t="s">
        <v>52</v>
      </c>
      <c r="U72" s="236" t="s">
        <v>51</v>
      </c>
      <c r="V72" s="153"/>
      <c r="W72" s="153"/>
      <c r="X72" s="153"/>
      <c r="Y72" s="153"/>
      <c r="Z72" s="153"/>
      <c r="AA72" s="153"/>
      <c r="AB72" s="153"/>
    </row>
    <row r="73" spans="1:28" ht="15">
      <c r="A73" s="153"/>
      <c r="B73" s="153"/>
      <c r="C73" s="153"/>
      <c r="D73" s="153"/>
      <c r="E73" s="153"/>
      <c r="F73" s="153"/>
      <c r="G73" s="153"/>
      <c r="H73" s="153"/>
      <c r="I73" s="153"/>
      <c r="J73" s="153"/>
      <c r="K73" s="239">
        <f t="shared" si="2"/>
        <v>39</v>
      </c>
      <c r="L73" s="237" t="s">
        <v>2221</v>
      </c>
      <c r="M73" s="237">
        <v>22460</v>
      </c>
      <c r="N73" s="240" t="s">
        <v>501</v>
      </c>
      <c r="O73" s="241" t="s">
        <v>476</v>
      </c>
      <c r="P73" s="240" t="s">
        <v>2155</v>
      </c>
      <c r="Q73" s="240" t="s">
        <v>477</v>
      </c>
      <c r="R73" s="238">
        <v>1406043</v>
      </c>
      <c r="S73" s="234" t="s">
        <v>502</v>
      </c>
      <c r="T73" s="235" t="s">
        <v>52</v>
      </c>
      <c r="U73" s="236" t="s">
        <v>51</v>
      </c>
      <c r="V73" s="153"/>
      <c r="W73" s="153"/>
      <c r="X73" s="153"/>
      <c r="Y73" s="153"/>
      <c r="Z73" s="153"/>
      <c r="AA73" s="153"/>
      <c r="AB73" s="153"/>
    </row>
    <row r="74" spans="1:28" ht="15">
      <c r="A74" s="153"/>
      <c r="B74" s="153"/>
      <c r="C74" s="153"/>
      <c r="D74" s="153"/>
      <c r="E74" s="153"/>
      <c r="F74" s="153"/>
      <c r="G74" s="153"/>
      <c r="H74" s="153"/>
      <c r="I74" s="153"/>
      <c r="J74" s="153"/>
      <c r="K74" s="239">
        <f t="shared" si="2"/>
        <v>40</v>
      </c>
      <c r="L74" s="237" t="s">
        <v>2225</v>
      </c>
      <c r="M74" s="237">
        <v>22478</v>
      </c>
      <c r="N74" s="240" t="s">
        <v>511</v>
      </c>
      <c r="O74" s="241" t="s">
        <v>476</v>
      </c>
      <c r="P74" s="240" t="s">
        <v>512</v>
      </c>
      <c r="Q74" s="240" t="s">
        <v>477</v>
      </c>
      <c r="R74" s="238">
        <v>1321358</v>
      </c>
      <c r="S74" s="234" t="s">
        <v>513</v>
      </c>
      <c r="T74" s="235" t="s">
        <v>52</v>
      </c>
      <c r="U74" s="236" t="s">
        <v>51</v>
      </c>
      <c r="V74" s="153"/>
      <c r="W74" s="153"/>
      <c r="X74" s="153"/>
      <c r="Y74" s="153"/>
      <c r="Z74" s="153"/>
      <c r="AA74" s="153"/>
      <c r="AB74" s="153"/>
    </row>
    <row r="75" spans="1:28" ht="15">
      <c r="A75" s="153"/>
      <c r="B75" s="153"/>
      <c r="C75" s="153"/>
      <c r="D75" s="153"/>
      <c r="E75" s="153"/>
      <c r="F75" s="153"/>
      <c r="G75" s="153"/>
      <c r="H75" s="153"/>
      <c r="I75" s="153"/>
      <c r="J75" s="153"/>
      <c r="K75" s="239">
        <f t="shared" si="2"/>
        <v>41</v>
      </c>
      <c r="L75" s="237" t="s">
        <v>2191</v>
      </c>
      <c r="M75" s="237">
        <v>22486</v>
      </c>
      <c r="N75" s="240" t="s">
        <v>409</v>
      </c>
      <c r="O75" s="247" t="s">
        <v>381</v>
      </c>
      <c r="P75" s="240" t="s">
        <v>410</v>
      </c>
      <c r="Q75" s="240" t="s">
        <v>383</v>
      </c>
      <c r="R75" s="238">
        <v>1404881</v>
      </c>
      <c r="S75" s="234" t="s">
        <v>411</v>
      </c>
      <c r="T75" s="235" t="s">
        <v>52</v>
      </c>
      <c r="U75" s="236" t="s">
        <v>51</v>
      </c>
      <c r="V75" s="153"/>
      <c r="W75" s="153"/>
      <c r="X75" s="153"/>
      <c r="Y75" s="153"/>
      <c r="Z75" s="153"/>
      <c r="AA75" s="153"/>
      <c r="AB75" s="153"/>
    </row>
    <row r="76" spans="1:28" ht="15">
      <c r="A76" s="153"/>
      <c r="B76" s="153"/>
      <c r="C76" s="153"/>
      <c r="D76" s="153"/>
      <c r="E76" s="153"/>
      <c r="F76" s="153"/>
      <c r="G76" s="153"/>
      <c r="H76" s="153"/>
      <c r="I76" s="153"/>
      <c r="J76" s="153"/>
      <c r="K76" s="239">
        <f t="shared" si="2"/>
        <v>42</v>
      </c>
      <c r="L76" s="237" t="s">
        <v>2266</v>
      </c>
      <c r="M76" s="237">
        <v>22494</v>
      </c>
      <c r="N76" s="240" t="s">
        <v>637</v>
      </c>
      <c r="O76" s="241" t="s">
        <v>610</v>
      </c>
      <c r="P76" s="240" t="s">
        <v>638</v>
      </c>
      <c r="Q76" s="240" t="s">
        <v>437</v>
      </c>
      <c r="R76" s="238">
        <v>1387332</v>
      </c>
      <c r="S76" s="234" t="s">
        <v>639</v>
      </c>
      <c r="T76" s="235" t="s">
        <v>52</v>
      </c>
      <c r="U76" s="236" t="s">
        <v>51</v>
      </c>
      <c r="V76" s="153"/>
      <c r="W76" s="153"/>
      <c r="X76" s="153"/>
      <c r="Y76" s="153"/>
      <c r="Z76" s="153"/>
      <c r="AA76" s="153"/>
      <c r="AB76" s="153"/>
    </row>
    <row r="77" spans="1:28" ht="15">
      <c r="A77" s="153"/>
      <c r="B77" s="153"/>
      <c r="C77" s="153"/>
      <c r="D77" s="153"/>
      <c r="E77" s="153"/>
      <c r="F77" s="153"/>
      <c r="G77" s="153"/>
      <c r="H77" s="153"/>
      <c r="I77" s="153"/>
      <c r="J77" s="153"/>
      <c r="K77" s="239">
        <f t="shared" si="2"/>
        <v>43</v>
      </c>
      <c r="L77" s="237" t="s">
        <v>2206</v>
      </c>
      <c r="M77" s="237">
        <v>22568</v>
      </c>
      <c r="N77" s="240" t="s">
        <v>457</v>
      </c>
      <c r="O77" s="247" t="s">
        <v>435</v>
      </c>
      <c r="P77" s="240" t="s">
        <v>458</v>
      </c>
      <c r="Q77" s="240" t="s">
        <v>437</v>
      </c>
      <c r="R77" s="238">
        <v>1580485</v>
      </c>
      <c r="S77" s="234" t="s">
        <v>459</v>
      </c>
      <c r="T77" s="235" t="s">
        <v>52</v>
      </c>
      <c r="U77" s="236" t="s">
        <v>51</v>
      </c>
      <c r="V77" s="153"/>
      <c r="W77" s="153"/>
      <c r="X77" s="153"/>
      <c r="Y77" s="153"/>
      <c r="Z77" s="153"/>
      <c r="AA77" s="153"/>
      <c r="AB77" s="153"/>
    </row>
    <row r="78" spans="1:28" ht="15">
      <c r="A78" s="153"/>
      <c r="B78" s="153"/>
      <c r="C78" s="153"/>
      <c r="D78" s="153"/>
      <c r="E78" s="153"/>
      <c r="F78" s="153"/>
      <c r="G78" s="153"/>
      <c r="H78" s="153"/>
      <c r="I78" s="153"/>
      <c r="J78" s="153"/>
      <c r="K78" s="239">
        <f t="shared" si="2"/>
        <v>44</v>
      </c>
      <c r="L78" s="237" t="s">
        <v>2267</v>
      </c>
      <c r="M78" s="237">
        <v>22824</v>
      </c>
      <c r="N78" s="240" t="s">
        <v>640</v>
      </c>
      <c r="O78" s="241" t="s">
        <v>610</v>
      </c>
      <c r="P78" s="240" t="s">
        <v>641</v>
      </c>
      <c r="Q78" s="240" t="s">
        <v>642</v>
      </c>
      <c r="R78" s="238">
        <v>2100673</v>
      </c>
      <c r="S78" s="234" t="s">
        <v>643</v>
      </c>
      <c r="T78" s="235" t="s">
        <v>52</v>
      </c>
      <c r="U78" s="236" t="s">
        <v>51</v>
      </c>
      <c r="V78" s="153"/>
      <c r="W78" s="153"/>
      <c r="X78" s="153"/>
      <c r="Y78" s="153"/>
      <c r="Z78" s="153"/>
      <c r="AA78" s="153"/>
      <c r="AB78" s="153"/>
    </row>
    <row r="79" spans="1:28" ht="15">
      <c r="A79" s="153"/>
      <c r="B79" s="153"/>
      <c r="C79" s="153"/>
      <c r="D79" s="153"/>
      <c r="E79" s="153"/>
      <c r="F79" s="153"/>
      <c r="G79" s="153"/>
      <c r="H79" s="153"/>
      <c r="I79" s="153"/>
      <c r="J79" s="153"/>
      <c r="K79" s="239">
        <f t="shared" si="2"/>
        <v>45</v>
      </c>
      <c r="L79" s="237" t="s">
        <v>2271</v>
      </c>
      <c r="M79" s="237">
        <v>22832</v>
      </c>
      <c r="N79" s="240" t="s">
        <v>652</v>
      </c>
      <c r="O79" s="241" t="s">
        <v>610</v>
      </c>
      <c r="P79" s="240" t="s">
        <v>653</v>
      </c>
      <c r="Q79" s="240" t="s">
        <v>380</v>
      </c>
      <c r="R79" s="238">
        <v>1274597</v>
      </c>
      <c r="S79" s="234" t="s">
        <v>654</v>
      </c>
      <c r="T79" s="235" t="s">
        <v>52</v>
      </c>
      <c r="U79" s="236" t="s">
        <v>51</v>
      </c>
      <c r="V79" s="153"/>
      <c r="W79" s="153"/>
      <c r="X79" s="153"/>
      <c r="Y79" s="153"/>
      <c r="Z79" s="153"/>
      <c r="AA79" s="153"/>
      <c r="AB79" s="153"/>
    </row>
    <row r="80" spans="1:28" ht="15">
      <c r="A80" s="153"/>
      <c r="B80" s="153"/>
      <c r="C80" s="153"/>
      <c r="D80" s="153"/>
      <c r="E80" s="153"/>
      <c r="F80" s="153"/>
      <c r="G80" s="153"/>
      <c r="H80" s="153"/>
      <c r="I80" s="153"/>
      <c r="J80" s="153"/>
      <c r="K80" s="239">
        <f t="shared" si="2"/>
        <v>46</v>
      </c>
      <c r="L80" s="237" t="s">
        <v>2187</v>
      </c>
      <c r="M80" s="237">
        <v>22849</v>
      </c>
      <c r="N80" s="240" t="s">
        <v>397</v>
      </c>
      <c r="O80" s="247" t="s">
        <v>381</v>
      </c>
      <c r="P80" s="240" t="s">
        <v>398</v>
      </c>
      <c r="Q80" s="240" t="s">
        <v>383</v>
      </c>
      <c r="R80" s="238">
        <v>1388142</v>
      </c>
      <c r="S80" s="234" t="s">
        <v>399</v>
      </c>
      <c r="T80" s="235" t="s">
        <v>52</v>
      </c>
      <c r="U80" s="236" t="s">
        <v>51</v>
      </c>
      <c r="V80" s="153"/>
      <c r="W80" s="153"/>
      <c r="X80" s="153"/>
      <c r="Y80" s="153"/>
      <c r="Z80" s="153"/>
      <c r="AA80" s="153"/>
      <c r="AB80" s="153"/>
    </row>
    <row r="81" spans="1:28" ht="15">
      <c r="A81" s="153"/>
      <c r="B81" s="153"/>
      <c r="C81" s="153"/>
      <c r="D81" s="153"/>
      <c r="E81" s="153"/>
      <c r="F81" s="153"/>
      <c r="G81" s="153"/>
      <c r="H81" s="153"/>
      <c r="I81" s="153"/>
      <c r="J81" s="153"/>
      <c r="K81" s="239">
        <f t="shared" si="2"/>
        <v>47</v>
      </c>
      <c r="L81" s="237" t="s">
        <v>2203</v>
      </c>
      <c r="M81" s="237">
        <v>22857</v>
      </c>
      <c r="N81" s="240" t="s">
        <v>449</v>
      </c>
      <c r="O81" s="247" t="s">
        <v>435</v>
      </c>
      <c r="P81" s="240" t="s">
        <v>450</v>
      </c>
      <c r="Q81" s="240" t="s">
        <v>437</v>
      </c>
      <c r="R81" s="238">
        <v>3368491</v>
      </c>
      <c r="S81" s="234" t="s">
        <v>451</v>
      </c>
      <c r="T81" s="235" t="s">
        <v>52</v>
      </c>
      <c r="U81" s="236" t="s">
        <v>51</v>
      </c>
      <c r="V81" s="153"/>
      <c r="W81" s="153"/>
      <c r="X81" s="153"/>
      <c r="Y81" s="153"/>
      <c r="Z81" s="153"/>
      <c r="AA81" s="153"/>
      <c r="AB81" s="153"/>
    </row>
    <row r="82" spans="1:28" ht="15">
      <c r="A82" s="153"/>
      <c r="B82" s="153"/>
      <c r="C82" s="153"/>
      <c r="D82" s="153"/>
      <c r="E82" s="153"/>
      <c r="F82" s="153"/>
      <c r="G82" s="153"/>
      <c r="H82" s="153"/>
      <c r="I82" s="153"/>
      <c r="J82" s="153"/>
      <c r="K82" s="239">
        <f t="shared" si="2"/>
        <v>48</v>
      </c>
      <c r="L82" s="237" t="s">
        <v>2219</v>
      </c>
      <c r="M82" s="245">
        <v>23368</v>
      </c>
      <c r="N82" s="240" t="s">
        <v>496</v>
      </c>
      <c r="O82" s="241" t="s">
        <v>476</v>
      </c>
      <c r="P82" s="240" t="s">
        <v>497</v>
      </c>
      <c r="Q82" s="240" t="s">
        <v>477</v>
      </c>
      <c r="R82" s="238">
        <v>1465643</v>
      </c>
      <c r="S82" s="234">
        <v>36149548625</v>
      </c>
      <c r="T82" s="235" t="s">
        <v>52</v>
      </c>
      <c r="U82" s="236" t="s">
        <v>51</v>
      </c>
      <c r="V82" s="153"/>
      <c r="W82" s="153"/>
      <c r="X82" s="153"/>
      <c r="Y82" s="153"/>
      <c r="Z82" s="153"/>
      <c r="AA82" s="153"/>
      <c r="AB82" s="153"/>
    </row>
    <row r="83" spans="1:28" ht="15">
      <c r="A83" s="153"/>
      <c r="B83" s="153"/>
      <c r="C83" s="153"/>
      <c r="D83" s="153"/>
      <c r="E83" s="153"/>
      <c r="F83" s="153"/>
      <c r="G83" s="153"/>
      <c r="H83" s="153"/>
      <c r="I83" s="153"/>
      <c r="J83" s="153"/>
      <c r="K83" s="239">
        <f t="shared" si="2"/>
        <v>49</v>
      </c>
      <c r="L83" s="237" t="s">
        <v>2226</v>
      </c>
      <c r="M83" s="237">
        <v>23815</v>
      </c>
      <c r="N83" s="240" t="s">
        <v>432</v>
      </c>
      <c r="O83" s="241" t="s">
        <v>432</v>
      </c>
      <c r="P83" s="240" t="s">
        <v>2157</v>
      </c>
      <c r="Q83" s="240" t="s">
        <v>433</v>
      </c>
      <c r="R83" s="238">
        <v>1695525</v>
      </c>
      <c r="S83" s="234" t="s">
        <v>434</v>
      </c>
      <c r="T83" s="235" t="s">
        <v>52</v>
      </c>
      <c r="U83" s="236" t="s">
        <v>51</v>
      </c>
      <c r="V83" s="153"/>
      <c r="W83" s="153"/>
      <c r="X83" s="153"/>
      <c r="Y83" s="153"/>
      <c r="Z83" s="153"/>
      <c r="AA83" s="153"/>
      <c r="AB83" s="153"/>
    </row>
    <row r="84" spans="1:28" ht="15">
      <c r="A84" s="153"/>
      <c r="B84" s="153"/>
      <c r="C84" s="153"/>
      <c r="D84" s="153"/>
      <c r="E84" s="153"/>
      <c r="F84" s="153"/>
      <c r="G84" s="153"/>
      <c r="H84" s="153"/>
      <c r="I84" s="153"/>
      <c r="J84" s="153"/>
      <c r="K84" s="239">
        <f t="shared" si="2"/>
        <v>50</v>
      </c>
      <c r="L84" s="237" t="s">
        <v>2198</v>
      </c>
      <c r="M84" s="237">
        <v>24141</v>
      </c>
      <c r="N84" s="240" t="s">
        <v>428</v>
      </c>
      <c r="O84" s="241" t="s">
        <v>428</v>
      </c>
      <c r="P84" s="240" t="s">
        <v>429</v>
      </c>
      <c r="Q84" s="240" t="s">
        <v>430</v>
      </c>
      <c r="R84" s="238">
        <v>1787578</v>
      </c>
      <c r="S84" s="234" t="s">
        <v>431</v>
      </c>
      <c r="T84" s="235" t="s">
        <v>52</v>
      </c>
      <c r="U84" s="236" t="s">
        <v>51</v>
      </c>
      <c r="V84" s="153"/>
      <c r="W84" s="153"/>
      <c r="X84" s="153"/>
      <c r="Y84" s="153"/>
      <c r="Z84" s="153"/>
      <c r="AA84" s="153"/>
      <c r="AB84" s="153"/>
    </row>
    <row r="85" spans="1:28" ht="15">
      <c r="A85" s="153"/>
      <c r="B85" s="153"/>
      <c r="C85" s="153"/>
      <c r="D85" s="153"/>
      <c r="E85" s="153"/>
      <c r="F85" s="153"/>
      <c r="G85" s="153"/>
      <c r="H85" s="153"/>
      <c r="I85" s="153"/>
      <c r="J85" s="153"/>
      <c r="K85" s="239">
        <f t="shared" si="2"/>
        <v>51</v>
      </c>
      <c r="L85" s="237" t="s">
        <v>2262</v>
      </c>
      <c r="M85" s="237">
        <v>38438</v>
      </c>
      <c r="N85" s="240" t="s">
        <v>621</v>
      </c>
      <c r="O85" s="241" t="s">
        <v>610</v>
      </c>
      <c r="P85" s="246" t="s">
        <v>622</v>
      </c>
      <c r="Q85" s="246" t="s">
        <v>623</v>
      </c>
      <c r="R85" s="238">
        <v>1963813</v>
      </c>
      <c r="S85" s="234" t="s">
        <v>624</v>
      </c>
      <c r="T85" s="235" t="s">
        <v>52</v>
      </c>
      <c r="U85" s="236" t="s">
        <v>51</v>
      </c>
      <c r="V85" s="153"/>
      <c r="W85" s="153"/>
      <c r="X85" s="153"/>
      <c r="Y85" s="153"/>
      <c r="Z85" s="153"/>
      <c r="AA85" s="153"/>
      <c r="AB85" s="153"/>
    </row>
    <row r="86" spans="1:28" ht="15">
      <c r="A86" s="153"/>
      <c r="B86" s="153"/>
      <c r="C86" s="153"/>
      <c r="D86" s="153"/>
      <c r="E86" s="153"/>
      <c r="F86" s="153"/>
      <c r="G86" s="153"/>
      <c r="H86" s="153"/>
      <c r="I86" s="153"/>
      <c r="J86" s="153"/>
      <c r="K86" s="239">
        <f t="shared" si="2"/>
        <v>52</v>
      </c>
      <c r="L86" s="237" t="s">
        <v>2261</v>
      </c>
      <c r="M86" s="237">
        <v>38446</v>
      </c>
      <c r="N86" s="240" t="s">
        <v>617</v>
      </c>
      <c r="O86" s="241" t="s">
        <v>610</v>
      </c>
      <c r="P86" s="240" t="s">
        <v>618</v>
      </c>
      <c r="Q86" s="240" t="s">
        <v>619</v>
      </c>
      <c r="R86" s="238">
        <v>1970828</v>
      </c>
      <c r="S86" s="234" t="s">
        <v>620</v>
      </c>
      <c r="T86" s="235" t="s">
        <v>52</v>
      </c>
      <c r="U86" s="236" t="s">
        <v>51</v>
      </c>
      <c r="V86" s="153"/>
      <c r="W86" s="153"/>
      <c r="X86" s="153"/>
      <c r="Y86" s="153"/>
      <c r="Z86" s="153"/>
      <c r="AA86" s="153"/>
      <c r="AB86" s="153"/>
    </row>
    <row r="87" spans="1:28" ht="15">
      <c r="A87" s="153"/>
      <c r="B87" s="153"/>
      <c r="C87" s="153"/>
      <c r="D87" s="153"/>
      <c r="E87" s="153"/>
      <c r="F87" s="153"/>
      <c r="G87" s="153"/>
      <c r="H87" s="153"/>
      <c r="I87" s="153"/>
      <c r="J87" s="153"/>
      <c r="K87" s="239">
        <f t="shared" si="2"/>
        <v>53</v>
      </c>
      <c r="L87" s="237" t="s">
        <v>2200</v>
      </c>
      <c r="M87" s="237">
        <v>38454</v>
      </c>
      <c r="N87" s="240" t="s">
        <v>439</v>
      </c>
      <c r="O87" s="247" t="s">
        <v>435</v>
      </c>
      <c r="P87" s="240" t="s">
        <v>440</v>
      </c>
      <c r="Q87" s="240" t="s">
        <v>437</v>
      </c>
      <c r="R87" s="238">
        <v>1954253</v>
      </c>
      <c r="S87" s="234" t="s">
        <v>441</v>
      </c>
      <c r="T87" s="235" t="s">
        <v>52</v>
      </c>
      <c r="U87" s="236" t="s">
        <v>51</v>
      </c>
      <c r="V87" s="153"/>
      <c r="W87" s="153"/>
      <c r="X87" s="153"/>
      <c r="Y87" s="153"/>
      <c r="Z87" s="153"/>
      <c r="AA87" s="153"/>
      <c r="AB87" s="153"/>
    </row>
    <row r="88" spans="1:28" ht="15">
      <c r="A88" s="153"/>
      <c r="B88" s="153"/>
      <c r="C88" s="153"/>
      <c r="D88" s="153"/>
      <c r="E88" s="153"/>
      <c r="F88" s="153"/>
      <c r="G88" s="153"/>
      <c r="H88" s="153"/>
      <c r="I88" s="153"/>
      <c r="J88" s="153"/>
      <c r="K88" s="239">
        <f t="shared" si="2"/>
        <v>54</v>
      </c>
      <c r="L88" s="237" t="s">
        <v>2193</v>
      </c>
      <c r="M88" s="237">
        <v>38479</v>
      </c>
      <c r="N88" s="240" t="s">
        <v>412</v>
      </c>
      <c r="O88" s="247" t="s">
        <v>381</v>
      </c>
      <c r="P88" s="240" t="s">
        <v>413</v>
      </c>
      <c r="Q88" s="240" t="s">
        <v>414</v>
      </c>
      <c r="R88" s="238">
        <v>1986490</v>
      </c>
      <c r="S88" s="234" t="s">
        <v>415</v>
      </c>
      <c r="T88" s="235" t="s">
        <v>52</v>
      </c>
      <c r="U88" s="236" t="s">
        <v>51</v>
      </c>
      <c r="V88" s="153"/>
      <c r="W88" s="153"/>
      <c r="X88" s="153"/>
      <c r="Y88" s="153"/>
      <c r="Z88" s="153"/>
      <c r="AA88" s="153"/>
      <c r="AB88" s="153"/>
    </row>
    <row r="89" spans="1:28" ht="15">
      <c r="A89" s="153"/>
      <c r="B89" s="153"/>
      <c r="C89" s="153"/>
      <c r="D89" s="153"/>
      <c r="E89" s="153"/>
      <c r="F89" s="153"/>
      <c r="G89" s="153"/>
      <c r="H89" s="153"/>
      <c r="I89" s="153"/>
      <c r="J89" s="153"/>
      <c r="K89" s="239">
        <f t="shared" si="2"/>
        <v>55</v>
      </c>
      <c r="L89" s="237" t="s">
        <v>2210</v>
      </c>
      <c r="M89" s="237">
        <v>40947</v>
      </c>
      <c r="N89" s="240" t="s">
        <v>469</v>
      </c>
      <c r="O89" s="247" t="s">
        <v>435</v>
      </c>
      <c r="P89" s="240" t="s">
        <v>470</v>
      </c>
      <c r="Q89" s="240" t="s">
        <v>437</v>
      </c>
      <c r="R89" s="238">
        <v>2116073</v>
      </c>
      <c r="S89" s="234" t="s">
        <v>471</v>
      </c>
      <c r="T89" s="235" t="s">
        <v>52</v>
      </c>
      <c r="U89" s="236" t="s">
        <v>51</v>
      </c>
      <c r="V89" s="153"/>
      <c r="W89" s="153"/>
      <c r="X89" s="153"/>
      <c r="Y89" s="153"/>
      <c r="Z89" s="153"/>
      <c r="AA89" s="153"/>
      <c r="AB89" s="153"/>
    </row>
    <row r="90" spans="1:28" ht="15">
      <c r="A90" s="153"/>
      <c r="B90" s="153"/>
      <c r="C90" s="153"/>
      <c r="D90" s="153"/>
      <c r="E90" s="153"/>
      <c r="F90" s="153"/>
      <c r="G90" s="153"/>
      <c r="H90" s="153"/>
      <c r="I90" s="153"/>
      <c r="J90" s="153"/>
      <c r="K90" s="239">
        <f t="shared" si="2"/>
        <v>56</v>
      </c>
      <c r="L90" s="237" t="s">
        <v>2263</v>
      </c>
      <c r="M90" s="237">
        <v>41185</v>
      </c>
      <c r="N90" s="240" t="s">
        <v>625</v>
      </c>
      <c r="O90" s="241" t="s">
        <v>610</v>
      </c>
      <c r="P90" s="240" t="s">
        <v>626</v>
      </c>
      <c r="Q90" s="240" t="s">
        <v>627</v>
      </c>
      <c r="R90" s="238">
        <v>2103133</v>
      </c>
      <c r="S90" s="234" t="s">
        <v>628</v>
      </c>
      <c r="T90" s="235" t="s">
        <v>52</v>
      </c>
      <c r="U90" s="236" t="s">
        <v>51</v>
      </c>
      <c r="V90" s="153"/>
      <c r="W90" s="153"/>
      <c r="X90" s="153"/>
      <c r="Y90" s="153"/>
      <c r="Z90" s="153"/>
      <c r="AA90" s="153"/>
      <c r="AB90" s="153"/>
    </row>
    <row r="91" spans="1:28" ht="15">
      <c r="A91" s="153"/>
      <c r="B91" s="153"/>
      <c r="C91" s="153"/>
      <c r="D91" s="153"/>
      <c r="E91" s="153"/>
      <c r="F91" s="153"/>
      <c r="G91" s="153"/>
      <c r="H91" s="153"/>
      <c r="I91" s="153"/>
      <c r="J91" s="153"/>
      <c r="K91" s="239">
        <f t="shared" si="2"/>
        <v>57</v>
      </c>
      <c r="L91" s="237" t="s">
        <v>2196</v>
      </c>
      <c r="M91" s="237">
        <v>42024</v>
      </c>
      <c r="N91" s="240" t="s">
        <v>421</v>
      </c>
      <c r="O91" s="241" t="s">
        <v>421</v>
      </c>
      <c r="P91" s="240" t="s">
        <v>422</v>
      </c>
      <c r="Q91" s="240" t="s">
        <v>423</v>
      </c>
      <c r="R91" s="238">
        <v>2161753</v>
      </c>
      <c r="S91" s="234" t="s">
        <v>424</v>
      </c>
      <c r="T91" s="235" t="s">
        <v>52</v>
      </c>
      <c r="U91" s="236" t="s">
        <v>51</v>
      </c>
      <c r="V91" s="153"/>
      <c r="W91" s="153"/>
      <c r="X91" s="153"/>
      <c r="Y91" s="153"/>
      <c r="Z91" s="153"/>
      <c r="AA91" s="153"/>
      <c r="AB91" s="153"/>
    </row>
    <row r="92" spans="1:28" ht="15">
      <c r="A92" s="153"/>
      <c r="B92" s="153"/>
      <c r="C92" s="153"/>
      <c r="D92" s="153"/>
      <c r="E92" s="153"/>
      <c r="F92" s="153"/>
      <c r="G92" s="153"/>
      <c r="H92" s="153"/>
      <c r="I92" s="153"/>
      <c r="J92" s="153"/>
      <c r="K92" s="239">
        <f t="shared" si="2"/>
        <v>58</v>
      </c>
      <c r="L92" s="237" t="s">
        <v>2269</v>
      </c>
      <c r="M92" s="237">
        <v>42993</v>
      </c>
      <c r="N92" s="240" t="s">
        <v>644</v>
      </c>
      <c r="O92" s="241" t="s">
        <v>610</v>
      </c>
      <c r="P92" s="240" t="s">
        <v>645</v>
      </c>
      <c r="Q92" s="240" t="s">
        <v>646</v>
      </c>
      <c r="R92" s="238">
        <v>2282208</v>
      </c>
      <c r="S92" s="234" t="s">
        <v>647</v>
      </c>
      <c r="T92" s="235" t="s">
        <v>52</v>
      </c>
      <c r="U92" s="236" t="s">
        <v>51</v>
      </c>
      <c r="V92" s="153"/>
      <c r="W92" s="153"/>
      <c r="X92" s="153"/>
      <c r="Y92" s="153"/>
      <c r="Z92" s="153"/>
      <c r="AA92" s="153"/>
      <c r="AB92" s="153"/>
    </row>
    <row r="93" spans="1:28" ht="15">
      <c r="A93" s="153"/>
      <c r="B93" s="153"/>
      <c r="C93" s="153"/>
      <c r="D93" s="153"/>
      <c r="E93" s="153"/>
      <c r="F93" s="153"/>
      <c r="G93" s="153"/>
      <c r="H93" s="153"/>
      <c r="I93" s="153"/>
      <c r="J93" s="153"/>
      <c r="K93" s="239">
        <f t="shared" si="2"/>
        <v>59</v>
      </c>
      <c r="L93" s="237" t="s">
        <v>2180</v>
      </c>
      <c r="M93" s="237">
        <v>43749</v>
      </c>
      <c r="N93" s="240" t="s">
        <v>609</v>
      </c>
      <c r="O93" s="241" t="s">
        <v>610</v>
      </c>
      <c r="P93" s="240" t="s">
        <v>611</v>
      </c>
      <c r="Q93" s="240" t="s">
        <v>612</v>
      </c>
      <c r="R93" s="238">
        <v>2382512</v>
      </c>
      <c r="S93" s="234" t="s">
        <v>613</v>
      </c>
      <c r="T93" s="235" t="s">
        <v>52</v>
      </c>
      <c r="U93" s="236" t="s">
        <v>51</v>
      </c>
      <c r="V93" s="153"/>
      <c r="W93" s="153"/>
      <c r="X93" s="153"/>
      <c r="Y93" s="153"/>
      <c r="Z93" s="153"/>
      <c r="AA93" s="153"/>
      <c r="AB93" s="153"/>
    </row>
    <row r="94" spans="1:28" ht="15">
      <c r="A94" s="153"/>
      <c r="B94" s="153"/>
      <c r="C94" s="153"/>
      <c r="D94" s="153"/>
      <c r="E94" s="153"/>
      <c r="F94" s="153"/>
      <c r="G94" s="153"/>
      <c r="H94" s="153"/>
      <c r="I94" s="153"/>
      <c r="J94" s="153"/>
      <c r="K94" s="239">
        <f t="shared" si="2"/>
        <v>60</v>
      </c>
      <c r="L94" s="237" t="s">
        <v>2218</v>
      </c>
      <c r="M94" s="237">
        <v>43773</v>
      </c>
      <c r="N94" s="240" t="s">
        <v>493</v>
      </c>
      <c r="O94" s="241" t="s">
        <v>476</v>
      </c>
      <c r="P94" s="240" t="s">
        <v>494</v>
      </c>
      <c r="Q94" s="240" t="s">
        <v>477</v>
      </c>
      <c r="R94" s="238">
        <v>2393255</v>
      </c>
      <c r="S94" s="234" t="s">
        <v>495</v>
      </c>
      <c r="T94" s="235" t="s">
        <v>52</v>
      </c>
      <c r="U94" s="236" t="s">
        <v>51</v>
      </c>
      <c r="V94" s="153"/>
      <c r="W94" s="153"/>
      <c r="X94" s="153"/>
      <c r="Y94" s="153"/>
      <c r="Z94" s="153"/>
      <c r="AA94" s="153"/>
      <c r="AB94" s="153"/>
    </row>
    <row r="95" spans="1:28" ht="15">
      <c r="A95" s="153"/>
      <c r="B95" s="153"/>
      <c r="C95" s="153"/>
      <c r="D95" s="153"/>
      <c r="E95" s="153"/>
      <c r="F95" s="153"/>
      <c r="G95" s="153"/>
      <c r="H95" s="153"/>
      <c r="I95" s="153"/>
      <c r="J95" s="153"/>
      <c r="K95" s="239">
        <f t="shared" si="2"/>
        <v>61</v>
      </c>
      <c r="L95" s="237" t="s">
        <v>2211</v>
      </c>
      <c r="M95" s="237">
        <v>48023</v>
      </c>
      <c r="N95" s="240" t="s">
        <v>472</v>
      </c>
      <c r="O95" s="247" t="s">
        <v>435</v>
      </c>
      <c r="P95" s="240" t="s">
        <v>473</v>
      </c>
      <c r="Q95" s="240" t="s">
        <v>437</v>
      </c>
      <c r="R95" s="244" t="s">
        <v>474</v>
      </c>
      <c r="S95" s="234" t="s">
        <v>475</v>
      </c>
      <c r="T95" s="235" t="s">
        <v>52</v>
      </c>
      <c r="U95" s="236" t="s">
        <v>51</v>
      </c>
      <c r="V95" s="153"/>
      <c r="W95" s="153"/>
      <c r="X95" s="153"/>
      <c r="Y95" s="153"/>
      <c r="Z95" s="153"/>
      <c r="AA95" s="153"/>
      <c r="AB95" s="153"/>
    </row>
    <row r="96" spans="1:28" ht="15">
      <c r="A96" s="153"/>
      <c r="B96" s="153"/>
      <c r="C96" s="153"/>
      <c r="D96" s="153"/>
      <c r="E96" s="153"/>
      <c r="F96" s="153"/>
      <c r="G96" s="153"/>
      <c r="H96" s="153"/>
      <c r="I96" s="153"/>
      <c r="J96" s="153"/>
      <c r="K96" s="239">
        <f t="shared" si="2"/>
        <v>62</v>
      </c>
      <c r="L96" s="237" t="s">
        <v>2197</v>
      </c>
      <c r="M96" s="237">
        <v>48267</v>
      </c>
      <c r="N96" s="240" t="s">
        <v>425</v>
      </c>
      <c r="O96" s="241" t="s">
        <v>425</v>
      </c>
      <c r="P96" s="240" t="s">
        <v>2152</v>
      </c>
      <c r="Q96" s="240" t="s">
        <v>426</v>
      </c>
      <c r="R96" s="238">
        <v>2752298</v>
      </c>
      <c r="S96" s="234" t="s">
        <v>427</v>
      </c>
      <c r="T96" s="235" t="s">
        <v>52</v>
      </c>
      <c r="U96" s="236" t="s">
        <v>51</v>
      </c>
      <c r="V96" s="153"/>
      <c r="W96" s="153"/>
      <c r="X96" s="153"/>
      <c r="Y96" s="153"/>
      <c r="Z96" s="153"/>
      <c r="AA96" s="153"/>
      <c r="AB96" s="153"/>
    </row>
    <row r="97" spans="1:28" ht="15">
      <c r="A97" s="153"/>
      <c r="B97" s="153"/>
      <c r="C97" s="153"/>
      <c r="D97" s="153"/>
      <c r="E97" s="153"/>
      <c r="F97" s="153"/>
      <c r="G97" s="153"/>
      <c r="H97" s="153"/>
      <c r="I97" s="153"/>
      <c r="J97" s="153"/>
      <c r="K97" s="239">
        <f t="shared" si="2"/>
        <v>63</v>
      </c>
      <c r="L97" s="237" t="s">
        <v>2194</v>
      </c>
      <c r="M97" s="237">
        <v>49796</v>
      </c>
      <c r="N97" s="240" t="s">
        <v>416</v>
      </c>
      <c r="O97" s="247" t="s">
        <v>381</v>
      </c>
      <c r="P97" s="240" t="s">
        <v>417</v>
      </c>
      <c r="Q97" s="240" t="s">
        <v>383</v>
      </c>
      <c r="R97" s="238">
        <v>4748875</v>
      </c>
      <c r="S97" s="234" t="s">
        <v>418</v>
      </c>
      <c r="T97" s="235" t="s">
        <v>52</v>
      </c>
      <c r="U97" s="236" t="s">
        <v>51</v>
      </c>
      <c r="V97" s="153"/>
      <c r="W97" s="153"/>
      <c r="X97" s="153"/>
      <c r="Y97" s="153"/>
      <c r="Z97" s="153"/>
      <c r="AA97" s="153"/>
      <c r="AB97" s="153"/>
    </row>
    <row r="98" spans="1:28" ht="15">
      <c r="A98" s="153"/>
      <c r="B98" s="153"/>
      <c r="C98" s="153"/>
      <c r="D98" s="153"/>
      <c r="E98" s="153"/>
      <c r="F98" s="153"/>
      <c r="G98" s="153"/>
      <c r="H98" s="153"/>
      <c r="I98" s="153"/>
      <c r="J98" s="153"/>
      <c r="K98" s="239">
        <f t="shared" si="2"/>
        <v>64</v>
      </c>
      <c r="L98" s="237" t="s">
        <v>2192</v>
      </c>
      <c r="M98" s="237">
        <v>50215</v>
      </c>
      <c r="N98" s="240" t="s">
        <v>419</v>
      </c>
      <c r="O98" s="247" t="s">
        <v>381</v>
      </c>
      <c r="P98" s="240" t="s">
        <v>420</v>
      </c>
      <c r="Q98" s="240" t="s">
        <v>383</v>
      </c>
      <c r="R98" s="238">
        <v>4907361</v>
      </c>
      <c r="S98" s="234" t="s">
        <v>2150</v>
      </c>
      <c r="T98" s="235" t="s">
        <v>52</v>
      </c>
      <c r="U98" s="236" t="s">
        <v>51</v>
      </c>
      <c r="V98" s="153"/>
      <c r="W98" s="153"/>
      <c r="X98" s="153"/>
      <c r="Y98" s="153"/>
      <c r="Z98" s="153"/>
      <c r="AA98" s="153"/>
      <c r="AB98" s="153"/>
    </row>
    <row r="99" spans="1:28" ht="15">
      <c r="A99" s="153"/>
      <c r="B99" s="153"/>
      <c r="C99" s="153"/>
      <c r="D99" s="153"/>
      <c r="E99" s="153"/>
      <c r="F99" s="153"/>
      <c r="G99" s="153"/>
      <c r="H99" s="153"/>
      <c r="I99" s="153"/>
      <c r="J99" s="153"/>
      <c r="K99" s="239">
        <f t="shared" si="2"/>
        <v>65</v>
      </c>
      <c r="L99" s="237" t="s">
        <v>2268</v>
      </c>
      <c r="M99" s="237">
        <v>50848</v>
      </c>
      <c r="N99" s="240" t="s">
        <v>2167</v>
      </c>
      <c r="O99" s="241" t="s">
        <v>610</v>
      </c>
      <c r="P99" s="240" t="s">
        <v>2168</v>
      </c>
      <c r="Q99" s="240" t="s">
        <v>2169</v>
      </c>
      <c r="R99" s="238">
        <v>2271354</v>
      </c>
      <c r="S99" s="234" t="s">
        <v>2170</v>
      </c>
      <c r="T99" s="235" t="s">
        <v>52</v>
      </c>
      <c r="U99" s="236" t="s">
        <v>51</v>
      </c>
      <c r="V99" s="153"/>
      <c r="W99" s="153"/>
      <c r="X99" s="153"/>
      <c r="Y99" s="153"/>
      <c r="Z99" s="153"/>
      <c r="AA99" s="153"/>
      <c r="AB99" s="153"/>
    </row>
    <row r="100" spans="1:28" ht="15">
      <c r="A100" s="153"/>
      <c r="B100" s="153"/>
      <c r="C100" s="153"/>
      <c r="D100" s="153"/>
      <c r="E100" s="153"/>
      <c r="F100" s="153"/>
      <c r="G100" s="153"/>
      <c r="H100" s="153"/>
      <c r="I100" s="153"/>
      <c r="J100" s="153"/>
      <c r="K100" s="239">
        <f t="shared" ref="K100:K136" si="3">+K99+1</f>
        <v>66</v>
      </c>
      <c r="L100" s="237" t="s">
        <v>2237</v>
      </c>
      <c r="M100" s="237">
        <v>51191</v>
      </c>
      <c r="N100" s="240" t="s">
        <v>2160</v>
      </c>
      <c r="O100" s="241" t="s">
        <v>514</v>
      </c>
      <c r="P100" s="240" t="s">
        <v>2161</v>
      </c>
      <c r="Q100" s="240" t="s">
        <v>380</v>
      </c>
      <c r="R100" s="238">
        <v>5214068</v>
      </c>
      <c r="S100" s="234" t="s">
        <v>2162</v>
      </c>
      <c r="T100" s="235" t="s">
        <v>52</v>
      </c>
      <c r="U100" s="236" t="s">
        <v>51</v>
      </c>
      <c r="V100" s="153"/>
      <c r="W100" s="153"/>
      <c r="X100" s="153"/>
      <c r="Y100" s="153"/>
      <c r="Z100" s="153"/>
      <c r="AA100" s="153"/>
      <c r="AB100" s="153"/>
    </row>
    <row r="101" spans="1:28" ht="15">
      <c r="A101" s="153"/>
      <c r="B101" s="153"/>
      <c r="C101" s="153"/>
      <c r="D101" s="153"/>
      <c r="E101" s="153"/>
      <c r="F101" s="153"/>
      <c r="G101" s="153"/>
      <c r="H101" s="153"/>
      <c r="I101" s="153"/>
      <c r="J101" s="153"/>
      <c r="K101" s="239">
        <f t="shared" si="3"/>
        <v>67</v>
      </c>
      <c r="L101" s="237" t="s">
        <v>2195</v>
      </c>
      <c r="M101" s="237">
        <v>51360</v>
      </c>
      <c r="N101" s="240" t="s">
        <v>2151</v>
      </c>
      <c r="O101" s="241" t="s">
        <v>2151</v>
      </c>
      <c r="P101" s="240"/>
      <c r="Q101" s="240"/>
      <c r="R101" s="238"/>
      <c r="S101" s="234"/>
      <c r="T101" s="235" t="s">
        <v>52</v>
      </c>
      <c r="U101" s="236" t="s">
        <v>51</v>
      </c>
      <c r="V101" s="153"/>
      <c r="W101" s="153"/>
      <c r="X101" s="153"/>
      <c r="Y101" s="153"/>
      <c r="Z101" s="153"/>
      <c r="AA101" s="153"/>
      <c r="AB101" s="153"/>
    </row>
    <row r="102" spans="1:28" ht="15">
      <c r="A102" s="153"/>
      <c r="B102" s="153"/>
      <c r="C102" s="153"/>
      <c r="D102" s="153"/>
      <c r="E102" s="153"/>
      <c r="F102" s="153"/>
      <c r="G102" s="153"/>
      <c r="H102" s="153"/>
      <c r="I102" s="153"/>
      <c r="J102" s="153"/>
      <c r="K102" s="239">
        <f t="shared" si="3"/>
        <v>68</v>
      </c>
      <c r="L102" s="237" t="s">
        <v>2290</v>
      </c>
      <c r="M102" s="237">
        <v>2900</v>
      </c>
      <c r="N102" s="240" t="s">
        <v>706</v>
      </c>
      <c r="O102" s="241" t="s">
        <v>610</v>
      </c>
      <c r="P102" s="240" t="s">
        <v>2173</v>
      </c>
      <c r="Q102" s="240" t="s">
        <v>477</v>
      </c>
      <c r="R102" s="238">
        <v>3118355</v>
      </c>
      <c r="S102" s="234" t="s">
        <v>707</v>
      </c>
      <c r="T102" s="235" t="s">
        <v>781</v>
      </c>
      <c r="U102" s="236" t="s">
        <v>655</v>
      </c>
      <c r="V102" s="153"/>
      <c r="W102" s="153"/>
      <c r="X102" s="153"/>
      <c r="Y102" s="153"/>
      <c r="Z102" s="153"/>
      <c r="AA102" s="153"/>
      <c r="AB102" s="153"/>
    </row>
    <row r="103" spans="1:28" ht="15">
      <c r="A103" s="153"/>
      <c r="B103" s="153"/>
      <c r="C103" s="153"/>
      <c r="D103" s="153"/>
      <c r="E103" s="153"/>
      <c r="F103" s="153"/>
      <c r="G103" s="153"/>
      <c r="H103" s="153"/>
      <c r="I103" s="153"/>
      <c r="J103" s="153"/>
      <c r="K103" s="239">
        <f t="shared" si="3"/>
        <v>69</v>
      </c>
      <c r="L103" s="237" t="s">
        <v>2272</v>
      </c>
      <c r="M103" s="237">
        <v>2918</v>
      </c>
      <c r="N103" s="240" t="s">
        <v>656</v>
      </c>
      <c r="O103" s="241" t="s">
        <v>610</v>
      </c>
      <c r="P103" s="240" t="s">
        <v>657</v>
      </c>
      <c r="Q103" s="240" t="s">
        <v>380</v>
      </c>
      <c r="R103" s="238">
        <v>3219925</v>
      </c>
      <c r="S103" s="234" t="s">
        <v>658</v>
      </c>
      <c r="T103" s="235" t="s">
        <v>781</v>
      </c>
      <c r="U103" s="236" t="s">
        <v>655</v>
      </c>
      <c r="V103" s="153"/>
      <c r="W103" s="153"/>
      <c r="X103" s="153"/>
      <c r="Y103" s="153"/>
      <c r="Z103" s="153"/>
      <c r="AA103" s="153"/>
      <c r="AB103" s="153"/>
    </row>
    <row r="104" spans="1:28" ht="15">
      <c r="A104" s="153"/>
      <c r="B104" s="153"/>
      <c r="C104" s="153"/>
      <c r="D104" s="153"/>
      <c r="E104" s="153"/>
      <c r="F104" s="153"/>
      <c r="G104" s="153"/>
      <c r="H104" s="153"/>
      <c r="I104" s="153"/>
      <c r="J104" s="153"/>
      <c r="K104" s="239">
        <f t="shared" si="3"/>
        <v>70</v>
      </c>
      <c r="L104" s="237" t="s">
        <v>2273</v>
      </c>
      <c r="M104" s="237">
        <v>2934</v>
      </c>
      <c r="N104" s="240" t="s">
        <v>659</v>
      </c>
      <c r="O104" s="241" t="s">
        <v>610</v>
      </c>
      <c r="P104" s="240" t="s">
        <v>660</v>
      </c>
      <c r="Q104" s="240" t="s">
        <v>380</v>
      </c>
      <c r="R104" s="238">
        <v>3207153</v>
      </c>
      <c r="S104" s="234" t="s">
        <v>661</v>
      </c>
      <c r="T104" s="235" t="s">
        <v>781</v>
      </c>
      <c r="U104" s="236" t="s">
        <v>655</v>
      </c>
      <c r="V104" s="153"/>
      <c r="W104" s="153"/>
      <c r="X104" s="153"/>
      <c r="Y104" s="153"/>
      <c r="Z104" s="153"/>
      <c r="AA104" s="153"/>
      <c r="AB104" s="153"/>
    </row>
    <row r="105" spans="1:28" ht="15">
      <c r="A105" s="153"/>
      <c r="B105" s="153"/>
      <c r="C105" s="153"/>
      <c r="D105" s="153"/>
      <c r="E105" s="153"/>
      <c r="F105" s="153"/>
      <c r="G105" s="153"/>
      <c r="H105" s="153"/>
      <c r="I105" s="153"/>
      <c r="J105" s="153"/>
      <c r="K105" s="239">
        <f t="shared" si="3"/>
        <v>71</v>
      </c>
      <c r="L105" s="237" t="s">
        <v>2292</v>
      </c>
      <c r="M105" s="237">
        <v>2942</v>
      </c>
      <c r="N105" s="240" t="s">
        <v>712</v>
      </c>
      <c r="O105" s="241" t="s">
        <v>610</v>
      </c>
      <c r="P105" s="240" t="s">
        <v>713</v>
      </c>
      <c r="Q105" s="240" t="s">
        <v>380</v>
      </c>
      <c r="R105" s="238">
        <v>1339958</v>
      </c>
      <c r="S105" s="234" t="s">
        <v>714</v>
      </c>
      <c r="T105" s="235" t="s">
        <v>781</v>
      </c>
      <c r="U105" s="236" t="s">
        <v>655</v>
      </c>
      <c r="V105" s="153"/>
      <c r="W105" s="153"/>
      <c r="X105" s="153"/>
      <c r="Y105" s="153"/>
      <c r="Z105" s="153"/>
      <c r="AA105" s="153"/>
      <c r="AB105" s="153"/>
    </row>
    <row r="106" spans="1:28" ht="15">
      <c r="A106" s="153"/>
      <c r="B106" s="153"/>
      <c r="C106" s="153"/>
      <c r="D106" s="153"/>
      <c r="E106" s="153"/>
      <c r="F106" s="153"/>
      <c r="G106" s="153"/>
      <c r="H106" s="153"/>
      <c r="I106" s="153"/>
      <c r="J106" s="153"/>
      <c r="K106" s="239">
        <f t="shared" si="3"/>
        <v>72</v>
      </c>
      <c r="L106" s="237" t="s">
        <v>2287</v>
      </c>
      <c r="M106" s="237">
        <v>2959</v>
      </c>
      <c r="N106" s="240" t="s">
        <v>698</v>
      </c>
      <c r="O106" s="241" t="s">
        <v>610</v>
      </c>
      <c r="P106" s="240" t="s">
        <v>699</v>
      </c>
      <c r="Q106" s="240" t="s">
        <v>380</v>
      </c>
      <c r="R106" s="238">
        <v>3270475</v>
      </c>
      <c r="S106" s="234" t="s">
        <v>700</v>
      </c>
      <c r="T106" s="235" t="s">
        <v>781</v>
      </c>
      <c r="U106" s="236" t="s">
        <v>655</v>
      </c>
      <c r="V106" s="153"/>
      <c r="W106" s="153"/>
      <c r="X106" s="153"/>
      <c r="Y106" s="153"/>
      <c r="Z106" s="153"/>
      <c r="AA106" s="153"/>
      <c r="AB106" s="153"/>
    </row>
    <row r="107" spans="1:28" ht="15">
      <c r="A107" s="153"/>
      <c r="B107" s="153"/>
      <c r="C107" s="153"/>
      <c r="D107" s="153"/>
      <c r="E107" s="153"/>
      <c r="F107" s="153"/>
      <c r="G107" s="153"/>
      <c r="H107" s="153"/>
      <c r="I107" s="153"/>
      <c r="J107" s="153"/>
      <c r="K107" s="239">
        <f t="shared" si="3"/>
        <v>73</v>
      </c>
      <c r="L107" s="237" t="s">
        <v>2296</v>
      </c>
      <c r="M107" s="237">
        <v>2967</v>
      </c>
      <c r="N107" s="240" t="s">
        <v>721</v>
      </c>
      <c r="O107" s="241" t="s">
        <v>610</v>
      </c>
      <c r="P107" s="240" t="s">
        <v>722</v>
      </c>
      <c r="Q107" s="240" t="s">
        <v>723</v>
      </c>
      <c r="R107" s="238">
        <v>3115879</v>
      </c>
      <c r="S107" s="234" t="s">
        <v>724</v>
      </c>
      <c r="T107" s="235" t="s">
        <v>781</v>
      </c>
      <c r="U107" s="236" t="s">
        <v>655</v>
      </c>
      <c r="V107" s="153"/>
      <c r="W107" s="153"/>
      <c r="X107" s="153"/>
      <c r="Y107" s="153"/>
      <c r="Z107" s="153"/>
      <c r="AA107" s="153"/>
      <c r="AB107" s="153"/>
    </row>
    <row r="108" spans="1:28" ht="15">
      <c r="A108" s="153"/>
      <c r="B108" s="153"/>
      <c r="C108" s="153"/>
      <c r="D108" s="153"/>
      <c r="E108" s="153"/>
      <c r="F108" s="153"/>
      <c r="G108" s="153"/>
      <c r="H108" s="153"/>
      <c r="I108" s="153"/>
      <c r="J108" s="153"/>
      <c r="K108" s="239">
        <f t="shared" si="3"/>
        <v>74</v>
      </c>
      <c r="L108" s="237" t="s">
        <v>2282</v>
      </c>
      <c r="M108" s="237">
        <v>2975</v>
      </c>
      <c r="N108" s="240" t="s">
        <v>684</v>
      </c>
      <c r="O108" s="241" t="s">
        <v>610</v>
      </c>
      <c r="P108" s="240" t="s">
        <v>669</v>
      </c>
      <c r="Q108" s="240" t="s">
        <v>380</v>
      </c>
      <c r="R108" s="238">
        <v>3270424</v>
      </c>
      <c r="S108" s="234" t="s">
        <v>685</v>
      </c>
      <c r="T108" s="235" t="s">
        <v>781</v>
      </c>
      <c r="U108" s="236" t="s">
        <v>655</v>
      </c>
      <c r="V108" s="153"/>
      <c r="W108" s="153"/>
      <c r="X108" s="153"/>
      <c r="Y108" s="153"/>
      <c r="Z108" s="153"/>
      <c r="AA108" s="153"/>
      <c r="AB108" s="153"/>
    </row>
    <row r="109" spans="1:28" ht="15">
      <c r="A109" s="153"/>
      <c r="B109" s="153"/>
      <c r="C109" s="153"/>
      <c r="D109" s="153"/>
      <c r="E109" s="153"/>
      <c r="F109" s="153"/>
      <c r="G109" s="153"/>
      <c r="H109" s="153"/>
      <c r="I109" s="153"/>
      <c r="J109" s="153"/>
      <c r="K109" s="239">
        <f t="shared" si="3"/>
        <v>75</v>
      </c>
      <c r="L109" s="237" t="s">
        <v>2274</v>
      </c>
      <c r="M109" s="237">
        <v>2983</v>
      </c>
      <c r="N109" s="240" t="s">
        <v>662</v>
      </c>
      <c r="O109" s="241" t="s">
        <v>610</v>
      </c>
      <c r="P109" s="240" t="s">
        <v>663</v>
      </c>
      <c r="Q109" s="240" t="s">
        <v>380</v>
      </c>
      <c r="R109" s="238">
        <v>3274098</v>
      </c>
      <c r="S109" s="234" t="s">
        <v>664</v>
      </c>
      <c r="T109" s="235" t="s">
        <v>781</v>
      </c>
      <c r="U109" s="236" t="s">
        <v>655</v>
      </c>
      <c r="V109" s="153"/>
      <c r="W109" s="153"/>
      <c r="X109" s="153"/>
      <c r="Y109" s="153"/>
      <c r="Z109" s="153"/>
      <c r="AA109" s="153"/>
      <c r="AB109" s="153"/>
    </row>
    <row r="110" spans="1:28" ht="15">
      <c r="A110" s="153"/>
      <c r="B110" s="153"/>
      <c r="C110" s="153"/>
      <c r="D110" s="153"/>
      <c r="E110" s="153"/>
      <c r="F110" s="153"/>
      <c r="G110" s="153"/>
      <c r="H110" s="153"/>
      <c r="I110" s="153"/>
      <c r="J110" s="153"/>
      <c r="K110" s="239">
        <f t="shared" si="3"/>
        <v>76</v>
      </c>
      <c r="L110" s="237" t="s">
        <v>2294</v>
      </c>
      <c r="M110" s="237">
        <v>2991</v>
      </c>
      <c r="N110" s="240" t="s">
        <v>2174</v>
      </c>
      <c r="O110" s="241" t="s">
        <v>610</v>
      </c>
      <c r="P110" s="240" t="s">
        <v>2175</v>
      </c>
      <c r="Q110" s="240" t="s">
        <v>383</v>
      </c>
      <c r="R110" s="238">
        <v>3058239</v>
      </c>
      <c r="S110" s="234" t="s">
        <v>2176</v>
      </c>
      <c r="T110" s="235" t="s">
        <v>781</v>
      </c>
      <c r="U110" s="236" t="s">
        <v>655</v>
      </c>
      <c r="V110" s="153"/>
      <c r="W110" s="153"/>
      <c r="X110" s="153"/>
      <c r="Y110" s="153"/>
      <c r="Z110" s="153"/>
      <c r="AA110" s="153"/>
      <c r="AB110" s="153"/>
    </row>
    <row r="111" spans="1:28" ht="15">
      <c r="A111" s="153"/>
      <c r="B111" s="153"/>
      <c r="C111" s="153"/>
      <c r="D111" s="153"/>
      <c r="E111" s="153"/>
      <c r="F111" s="153"/>
      <c r="G111" s="153"/>
      <c r="H111" s="153"/>
      <c r="I111" s="153"/>
      <c r="J111" s="153"/>
      <c r="K111" s="239">
        <f t="shared" si="3"/>
        <v>77</v>
      </c>
      <c r="L111" s="237" t="s">
        <v>2289</v>
      </c>
      <c r="M111" s="237">
        <v>3009</v>
      </c>
      <c r="N111" s="240" t="s">
        <v>703</v>
      </c>
      <c r="O111" s="241" t="s">
        <v>610</v>
      </c>
      <c r="P111" s="240" t="s">
        <v>704</v>
      </c>
      <c r="Q111" s="240" t="s">
        <v>380</v>
      </c>
      <c r="R111" s="238">
        <v>3287572</v>
      </c>
      <c r="S111" s="234" t="s">
        <v>705</v>
      </c>
      <c r="T111" s="235" t="s">
        <v>781</v>
      </c>
      <c r="U111" s="236" t="s">
        <v>655</v>
      </c>
      <c r="V111" s="153"/>
      <c r="W111" s="153"/>
      <c r="X111" s="153"/>
      <c r="Y111" s="153"/>
      <c r="Z111" s="153"/>
      <c r="AA111" s="153"/>
      <c r="AB111" s="153"/>
    </row>
    <row r="112" spans="1:28" ht="15">
      <c r="A112" s="153"/>
      <c r="B112" s="153"/>
      <c r="C112" s="153"/>
      <c r="D112" s="153"/>
      <c r="E112" s="153"/>
      <c r="F112" s="153"/>
      <c r="G112" s="153"/>
      <c r="H112" s="153"/>
      <c r="I112" s="153"/>
      <c r="J112" s="153"/>
      <c r="K112" s="239">
        <f t="shared" si="3"/>
        <v>78</v>
      </c>
      <c r="L112" s="237" t="s">
        <v>2285</v>
      </c>
      <c r="M112" s="237">
        <v>3025</v>
      </c>
      <c r="N112" s="240" t="s">
        <v>692</v>
      </c>
      <c r="O112" s="241" t="s">
        <v>610</v>
      </c>
      <c r="P112" s="240" t="s">
        <v>693</v>
      </c>
      <c r="Q112" s="240" t="s">
        <v>477</v>
      </c>
      <c r="R112" s="238">
        <v>3140792</v>
      </c>
      <c r="S112" s="234" t="s">
        <v>694</v>
      </c>
      <c r="T112" s="235" t="s">
        <v>781</v>
      </c>
      <c r="U112" s="236" t="s">
        <v>655</v>
      </c>
      <c r="V112" s="153"/>
      <c r="W112" s="153"/>
      <c r="X112" s="153"/>
      <c r="Y112" s="153"/>
      <c r="Z112" s="153"/>
      <c r="AA112" s="153"/>
      <c r="AB112" s="153"/>
    </row>
    <row r="113" spans="1:28" ht="15">
      <c r="A113" s="153"/>
      <c r="B113" s="153"/>
      <c r="C113" s="153"/>
      <c r="D113" s="153"/>
      <c r="E113" s="153"/>
      <c r="F113" s="153"/>
      <c r="G113" s="153"/>
      <c r="H113" s="153"/>
      <c r="I113" s="153"/>
      <c r="J113" s="153"/>
      <c r="K113" s="239">
        <f t="shared" si="3"/>
        <v>79</v>
      </c>
      <c r="L113" s="237" t="s">
        <v>2276</v>
      </c>
      <c r="M113" s="237">
        <v>3041</v>
      </c>
      <c r="N113" s="240" t="s">
        <v>668</v>
      </c>
      <c r="O113" s="241" t="s">
        <v>610</v>
      </c>
      <c r="P113" s="240" t="s">
        <v>669</v>
      </c>
      <c r="Q113" s="240" t="s">
        <v>380</v>
      </c>
      <c r="R113" s="238">
        <v>3270289</v>
      </c>
      <c r="S113" s="234" t="s">
        <v>670</v>
      </c>
      <c r="T113" s="235" t="s">
        <v>781</v>
      </c>
      <c r="U113" s="236" t="s">
        <v>655</v>
      </c>
      <c r="V113" s="153"/>
      <c r="W113" s="153"/>
      <c r="X113" s="153"/>
      <c r="Y113" s="153"/>
      <c r="Z113" s="153"/>
      <c r="AA113" s="153"/>
      <c r="AB113" s="153"/>
    </row>
    <row r="114" spans="1:28" ht="15">
      <c r="A114" s="153"/>
      <c r="B114" s="153"/>
      <c r="C114" s="153"/>
      <c r="D114" s="153"/>
      <c r="E114" s="153"/>
      <c r="F114" s="153"/>
      <c r="G114" s="153"/>
      <c r="H114" s="153"/>
      <c r="I114" s="153"/>
      <c r="J114" s="153"/>
      <c r="K114" s="239">
        <f t="shared" si="3"/>
        <v>80</v>
      </c>
      <c r="L114" s="237" t="s">
        <v>2279</v>
      </c>
      <c r="M114" s="237">
        <v>3050</v>
      </c>
      <c r="N114" s="240" t="s">
        <v>676</v>
      </c>
      <c r="O114" s="241" t="s">
        <v>610</v>
      </c>
      <c r="P114" s="240" t="s">
        <v>677</v>
      </c>
      <c r="Q114" s="240" t="s">
        <v>380</v>
      </c>
      <c r="R114" s="238">
        <v>3205118</v>
      </c>
      <c r="S114" s="234" t="s">
        <v>678</v>
      </c>
      <c r="T114" s="235" t="s">
        <v>781</v>
      </c>
      <c r="U114" s="236" t="s">
        <v>655</v>
      </c>
      <c r="V114" s="153"/>
      <c r="W114" s="153"/>
      <c r="X114" s="153"/>
      <c r="Y114" s="153"/>
      <c r="Z114" s="153"/>
      <c r="AA114" s="153"/>
      <c r="AB114" s="153"/>
    </row>
    <row r="115" spans="1:28" ht="15">
      <c r="A115" s="153"/>
      <c r="B115" s="153"/>
      <c r="C115" s="153"/>
      <c r="D115" s="153"/>
      <c r="E115" s="153"/>
      <c r="F115" s="153"/>
      <c r="G115" s="153"/>
      <c r="H115" s="153"/>
      <c r="I115" s="153"/>
      <c r="J115" s="153"/>
      <c r="K115" s="239">
        <f t="shared" si="3"/>
        <v>81</v>
      </c>
      <c r="L115" s="237" t="s">
        <v>2293</v>
      </c>
      <c r="M115" s="237">
        <v>3068</v>
      </c>
      <c r="N115" s="240" t="s">
        <v>715</v>
      </c>
      <c r="O115" s="241" t="s">
        <v>610</v>
      </c>
      <c r="P115" s="240" t="s">
        <v>716</v>
      </c>
      <c r="Q115" s="240" t="s">
        <v>380</v>
      </c>
      <c r="R115" s="238">
        <v>3208001</v>
      </c>
      <c r="S115" s="234" t="s">
        <v>717</v>
      </c>
      <c r="T115" s="235" t="s">
        <v>781</v>
      </c>
      <c r="U115" s="236" t="s">
        <v>655</v>
      </c>
      <c r="V115" s="153"/>
      <c r="W115" s="153"/>
      <c r="X115" s="153"/>
      <c r="Y115" s="153"/>
      <c r="Z115" s="153"/>
      <c r="AA115" s="153"/>
      <c r="AB115" s="153"/>
    </row>
    <row r="116" spans="1:28" ht="15">
      <c r="A116" s="153"/>
      <c r="B116" s="153"/>
      <c r="C116" s="153"/>
      <c r="D116" s="153"/>
      <c r="E116" s="153"/>
      <c r="F116" s="153"/>
      <c r="G116" s="153"/>
      <c r="H116" s="153"/>
      <c r="I116" s="153"/>
      <c r="J116" s="153"/>
      <c r="K116" s="239">
        <f t="shared" si="3"/>
        <v>82</v>
      </c>
      <c r="L116" s="237" t="s">
        <v>2291</v>
      </c>
      <c r="M116" s="237">
        <v>3076</v>
      </c>
      <c r="N116" s="240" t="s">
        <v>708</v>
      </c>
      <c r="O116" s="241" t="s">
        <v>610</v>
      </c>
      <c r="P116" s="240" t="s">
        <v>709</v>
      </c>
      <c r="Q116" s="240" t="s">
        <v>710</v>
      </c>
      <c r="R116" s="238">
        <v>3421031</v>
      </c>
      <c r="S116" s="234" t="s">
        <v>711</v>
      </c>
      <c r="T116" s="235" t="s">
        <v>781</v>
      </c>
      <c r="U116" s="236" t="s">
        <v>655</v>
      </c>
      <c r="V116" s="153"/>
      <c r="W116" s="153"/>
      <c r="X116" s="153"/>
      <c r="Y116" s="153"/>
      <c r="Z116" s="153"/>
      <c r="AA116" s="153"/>
      <c r="AB116" s="153"/>
    </row>
    <row r="117" spans="1:28" ht="15">
      <c r="A117" s="153"/>
      <c r="B117" s="153"/>
      <c r="C117" s="153"/>
      <c r="D117" s="153"/>
      <c r="E117" s="153"/>
      <c r="F117" s="153"/>
      <c r="G117" s="153"/>
      <c r="H117" s="153"/>
      <c r="I117" s="153"/>
      <c r="J117" s="153"/>
      <c r="K117" s="239">
        <f t="shared" si="3"/>
        <v>83</v>
      </c>
      <c r="L117" s="237" t="s">
        <v>2280</v>
      </c>
      <c r="M117" s="237">
        <v>3084</v>
      </c>
      <c r="N117" s="240" t="s">
        <v>679</v>
      </c>
      <c r="O117" s="241" t="s">
        <v>610</v>
      </c>
      <c r="P117" s="240" t="s">
        <v>680</v>
      </c>
      <c r="Q117" s="240" t="s">
        <v>380</v>
      </c>
      <c r="R117" s="238">
        <v>3724042</v>
      </c>
      <c r="S117" s="234" t="s">
        <v>681</v>
      </c>
      <c r="T117" s="235" t="s">
        <v>781</v>
      </c>
      <c r="U117" s="236" t="s">
        <v>655</v>
      </c>
      <c r="V117" s="153"/>
      <c r="W117" s="153"/>
      <c r="X117" s="153"/>
      <c r="Y117" s="153"/>
      <c r="Z117" s="153"/>
      <c r="AA117" s="153"/>
      <c r="AB117" s="153"/>
    </row>
    <row r="118" spans="1:28" ht="15">
      <c r="A118" s="153"/>
      <c r="B118" s="153"/>
      <c r="C118" s="153"/>
      <c r="D118" s="153"/>
      <c r="E118" s="153"/>
      <c r="F118" s="153"/>
      <c r="G118" s="153"/>
      <c r="H118" s="153"/>
      <c r="I118" s="153"/>
      <c r="J118" s="153"/>
      <c r="K118" s="239">
        <f t="shared" si="3"/>
        <v>84</v>
      </c>
      <c r="L118" s="237" t="s">
        <v>2281</v>
      </c>
      <c r="M118" s="237">
        <v>3092</v>
      </c>
      <c r="N118" s="240" t="s">
        <v>682</v>
      </c>
      <c r="O118" s="241" t="s">
        <v>610</v>
      </c>
      <c r="P118" s="240" t="s">
        <v>2171</v>
      </c>
      <c r="Q118" s="240" t="s">
        <v>380</v>
      </c>
      <c r="R118" s="238">
        <v>3772047</v>
      </c>
      <c r="S118" s="234" t="s">
        <v>683</v>
      </c>
      <c r="T118" s="235" t="s">
        <v>781</v>
      </c>
      <c r="U118" s="236" t="s">
        <v>655</v>
      </c>
      <c r="V118" s="153"/>
      <c r="W118" s="153"/>
      <c r="X118" s="153"/>
      <c r="Y118" s="153"/>
      <c r="Z118" s="153"/>
      <c r="AA118" s="153"/>
      <c r="AB118" s="153"/>
    </row>
    <row r="119" spans="1:28" ht="15">
      <c r="A119" s="153"/>
      <c r="B119" s="153"/>
      <c r="C119" s="153"/>
      <c r="D119" s="153"/>
      <c r="E119" s="153"/>
      <c r="F119" s="153"/>
      <c r="G119" s="153"/>
      <c r="H119" s="153"/>
      <c r="I119" s="153"/>
      <c r="J119" s="153"/>
      <c r="K119" s="239">
        <f t="shared" si="3"/>
        <v>85</v>
      </c>
      <c r="L119" s="237" t="s">
        <v>2275</v>
      </c>
      <c r="M119" s="237">
        <v>3105</v>
      </c>
      <c r="N119" s="240" t="s">
        <v>665</v>
      </c>
      <c r="O119" s="241" t="s">
        <v>610</v>
      </c>
      <c r="P119" s="240" t="s">
        <v>666</v>
      </c>
      <c r="Q119" s="240" t="s">
        <v>380</v>
      </c>
      <c r="R119" s="238">
        <v>3793028</v>
      </c>
      <c r="S119" s="234" t="s">
        <v>667</v>
      </c>
      <c r="T119" s="235" t="s">
        <v>781</v>
      </c>
      <c r="U119" s="236" t="s">
        <v>655</v>
      </c>
      <c r="V119" s="153"/>
      <c r="W119" s="153"/>
      <c r="X119" s="153"/>
      <c r="Y119" s="153"/>
      <c r="Z119" s="153"/>
      <c r="AA119" s="153"/>
      <c r="AB119" s="153"/>
    </row>
    <row r="120" spans="1:28" ht="15">
      <c r="A120" s="153"/>
      <c r="B120" s="153"/>
      <c r="C120" s="153"/>
      <c r="D120" s="153"/>
      <c r="E120" s="153"/>
      <c r="F120" s="153"/>
      <c r="G120" s="153"/>
      <c r="H120" s="153"/>
      <c r="I120" s="153"/>
      <c r="J120" s="153"/>
      <c r="K120" s="239">
        <f t="shared" si="3"/>
        <v>86</v>
      </c>
      <c r="L120" s="237" t="s">
        <v>2277</v>
      </c>
      <c r="M120" s="237">
        <v>3113</v>
      </c>
      <c r="N120" s="240" t="s">
        <v>671</v>
      </c>
      <c r="O120" s="241" t="s">
        <v>610</v>
      </c>
      <c r="P120" s="240" t="s">
        <v>672</v>
      </c>
      <c r="Q120" s="240" t="s">
        <v>380</v>
      </c>
      <c r="R120" s="238">
        <v>3817121</v>
      </c>
      <c r="S120" s="234" t="s">
        <v>673</v>
      </c>
      <c r="T120" s="235" t="s">
        <v>781</v>
      </c>
      <c r="U120" s="236" t="s">
        <v>655</v>
      </c>
      <c r="V120" s="153"/>
      <c r="W120" s="153"/>
      <c r="X120" s="153"/>
      <c r="Y120" s="153"/>
      <c r="Z120" s="153"/>
      <c r="AA120" s="153"/>
      <c r="AB120" s="153"/>
    </row>
    <row r="121" spans="1:28" ht="15">
      <c r="A121" s="153"/>
      <c r="B121" s="153"/>
      <c r="C121" s="153"/>
      <c r="D121" s="153"/>
      <c r="E121" s="153"/>
      <c r="F121" s="153"/>
      <c r="G121" s="153"/>
      <c r="H121" s="153"/>
      <c r="I121" s="153"/>
      <c r="J121" s="153"/>
      <c r="K121" s="239">
        <f t="shared" si="3"/>
        <v>87</v>
      </c>
      <c r="L121" s="237" t="s">
        <v>2278</v>
      </c>
      <c r="M121" s="237">
        <v>3121</v>
      </c>
      <c r="N121" s="240" t="s">
        <v>674</v>
      </c>
      <c r="O121" s="241" t="s">
        <v>610</v>
      </c>
      <c r="P121" s="240" t="s">
        <v>672</v>
      </c>
      <c r="Q121" s="240" t="s">
        <v>380</v>
      </c>
      <c r="R121" s="238">
        <v>3937658</v>
      </c>
      <c r="S121" s="234" t="s">
        <v>675</v>
      </c>
      <c r="T121" s="235" t="s">
        <v>781</v>
      </c>
      <c r="U121" s="236" t="s">
        <v>655</v>
      </c>
      <c r="V121" s="153"/>
      <c r="W121" s="153"/>
      <c r="X121" s="153"/>
      <c r="Y121" s="153"/>
      <c r="Z121" s="153"/>
      <c r="AA121" s="153"/>
      <c r="AB121" s="153"/>
    </row>
    <row r="122" spans="1:28" ht="15">
      <c r="A122" s="153"/>
      <c r="B122" s="153"/>
      <c r="C122" s="153"/>
      <c r="D122" s="153"/>
      <c r="E122" s="153"/>
      <c r="F122" s="153"/>
      <c r="G122" s="153"/>
      <c r="H122" s="153"/>
      <c r="I122" s="153"/>
      <c r="J122" s="153"/>
      <c r="K122" s="239">
        <f t="shared" si="3"/>
        <v>88</v>
      </c>
      <c r="L122" s="237" t="s">
        <v>2284</v>
      </c>
      <c r="M122" s="237">
        <v>21061</v>
      </c>
      <c r="N122" s="240" t="s">
        <v>689</v>
      </c>
      <c r="O122" s="241" t="s">
        <v>610</v>
      </c>
      <c r="P122" s="240" t="s">
        <v>690</v>
      </c>
      <c r="Q122" s="240" t="s">
        <v>380</v>
      </c>
      <c r="R122" s="238">
        <v>1259571</v>
      </c>
      <c r="S122" s="234" t="s">
        <v>691</v>
      </c>
      <c r="T122" s="235" t="s">
        <v>781</v>
      </c>
      <c r="U122" s="236" t="s">
        <v>655</v>
      </c>
      <c r="V122" s="153"/>
      <c r="W122" s="153"/>
      <c r="X122" s="153"/>
      <c r="Y122" s="153"/>
      <c r="Z122" s="153"/>
      <c r="AA122" s="153"/>
      <c r="AB122" s="153"/>
    </row>
    <row r="123" spans="1:28" ht="15">
      <c r="A123" s="153"/>
      <c r="B123" s="153"/>
      <c r="C123" s="153"/>
      <c r="D123" s="153"/>
      <c r="E123" s="153"/>
      <c r="F123" s="153"/>
      <c r="G123" s="153"/>
      <c r="H123" s="153"/>
      <c r="I123" s="153"/>
      <c r="J123" s="153"/>
      <c r="K123" s="239">
        <f t="shared" si="3"/>
        <v>89</v>
      </c>
      <c r="L123" s="237" t="s">
        <v>2295</v>
      </c>
      <c r="M123" s="237">
        <v>21070</v>
      </c>
      <c r="N123" s="240" t="s">
        <v>718</v>
      </c>
      <c r="O123" s="241" t="s">
        <v>610</v>
      </c>
      <c r="P123" s="240" t="s">
        <v>719</v>
      </c>
      <c r="Q123" s="240" t="s">
        <v>380</v>
      </c>
      <c r="R123" s="238">
        <v>1259563</v>
      </c>
      <c r="S123" s="234" t="s">
        <v>720</v>
      </c>
      <c r="T123" s="235" t="s">
        <v>781</v>
      </c>
      <c r="U123" s="236" t="s">
        <v>655</v>
      </c>
      <c r="V123" s="153"/>
      <c r="W123" s="153"/>
      <c r="X123" s="153"/>
      <c r="Y123" s="153"/>
      <c r="Z123" s="153"/>
      <c r="AA123" s="153"/>
      <c r="AB123" s="153"/>
    </row>
    <row r="124" spans="1:28" ht="15">
      <c r="A124" s="153"/>
      <c r="B124" s="153"/>
      <c r="C124" s="153"/>
      <c r="D124" s="153"/>
      <c r="E124" s="153"/>
      <c r="F124" s="153"/>
      <c r="G124" s="153"/>
      <c r="H124" s="153"/>
      <c r="I124" s="153"/>
      <c r="J124" s="153"/>
      <c r="K124" s="239">
        <f t="shared" si="3"/>
        <v>90</v>
      </c>
      <c r="L124" s="237" t="s">
        <v>2283</v>
      </c>
      <c r="M124" s="237">
        <v>22525</v>
      </c>
      <c r="N124" s="240" t="s">
        <v>686</v>
      </c>
      <c r="O124" s="241" t="s">
        <v>610</v>
      </c>
      <c r="P124" s="240" t="s">
        <v>687</v>
      </c>
      <c r="Q124" s="240" t="s">
        <v>380</v>
      </c>
      <c r="R124" s="238">
        <v>3219518</v>
      </c>
      <c r="S124" s="234" t="s">
        <v>688</v>
      </c>
      <c r="T124" s="235" t="s">
        <v>781</v>
      </c>
      <c r="U124" s="236" t="s">
        <v>655</v>
      </c>
      <c r="V124" s="153"/>
      <c r="W124" s="153"/>
      <c r="X124" s="153"/>
      <c r="Y124" s="153"/>
      <c r="Z124" s="153"/>
      <c r="AA124" s="153"/>
      <c r="AB124" s="153"/>
    </row>
    <row r="125" spans="1:28" ht="15">
      <c r="A125" s="153"/>
      <c r="B125" s="153"/>
      <c r="C125" s="153"/>
      <c r="D125" s="153"/>
      <c r="E125" s="153"/>
      <c r="F125" s="153"/>
      <c r="G125" s="153"/>
      <c r="H125" s="153"/>
      <c r="I125" s="153"/>
      <c r="J125" s="153"/>
      <c r="K125" s="239">
        <f t="shared" si="3"/>
        <v>91</v>
      </c>
      <c r="L125" s="237" t="s">
        <v>2288</v>
      </c>
      <c r="M125" s="237">
        <v>22621</v>
      </c>
      <c r="N125" s="240" t="s">
        <v>701</v>
      </c>
      <c r="O125" s="241" t="s">
        <v>610</v>
      </c>
      <c r="P125" s="240" t="s">
        <v>2172</v>
      </c>
      <c r="Q125" s="240" t="s">
        <v>380</v>
      </c>
      <c r="R125" s="238">
        <v>3205177</v>
      </c>
      <c r="S125" s="234" t="s">
        <v>702</v>
      </c>
      <c r="T125" s="235" t="s">
        <v>781</v>
      </c>
      <c r="U125" s="236" t="s">
        <v>655</v>
      </c>
      <c r="V125" s="153"/>
      <c r="W125" s="153"/>
      <c r="X125" s="153"/>
      <c r="Y125" s="153"/>
      <c r="Z125" s="153"/>
      <c r="AA125" s="153"/>
      <c r="AB125" s="153"/>
    </row>
    <row r="126" spans="1:28" ht="15">
      <c r="A126" s="153"/>
      <c r="B126" s="153"/>
      <c r="C126" s="153"/>
      <c r="D126" s="153"/>
      <c r="E126" s="153"/>
      <c r="F126" s="153"/>
      <c r="G126" s="153"/>
      <c r="H126" s="153"/>
      <c r="I126" s="153"/>
      <c r="J126" s="153"/>
      <c r="K126" s="239">
        <f t="shared" si="3"/>
        <v>92</v>
      </c>
      <c r="L126" s="237" t="s">
        <v>2286</v>
      </c>
      <c r="M126" s="237">
        <v>23286</v>
      </c>
      <c r="N126" s="240" t="s">
        <v>695</v>
      </c>
      <c r="O126" s="241" t="s">
        <v>610</v>
      </c>
      <c r="P126" s="240" t="s">
        <v>696</v>
      </c>
      <c r="Q126" s="240" t="s">
        <v>380</v>
      </c>
      <c r="R126" s="238">
        <v>3226344</v>
      </c>
      <c r="S126" s="234" t="s">
        <v>697</v>
      </c>
      <c r="T126" s="235" t="s">
        <v>781</v>
      </c>
      <c r="U126" s="236" t="s">
        <v>655</v>
      </c>
      <c r="V126" s="153"/>
      <c r="W126" s="153"/>
      <c r="X126" s="153"/>
      <c r="Y126" s="153"/>
      <c r="Z126" s="153"/>
      <c r="AA126" s="153"/>
      <c r="AB126" s="153"/>
    </row>
    <row r="127" spans="1:28" ht="15">
      <c r="A127" s="153"/>
      <c r="B127" s="153"/>
      <c r="C127" s="153"/>
      <c r="D127" s="153"/>
      <c r="E127" s="153"/>
      <c r="F127" s="153"/>
      <c r="G127" s="153"/>
      <c r="H127" s="153"/>
      <c r="I127" s="153"/>
      <c r="J127" s="153"/>
      <c r="K127" s="239">
        <f t="shared" si="3"/>
        <v>93</v>
      </c>
      <c r="L127" s="237" t="s">
        <v>2297</v>
      </c>
      <c r="M127" s="237">
        <v>6179</v>
      </c>
      <c r="N127" s="240" t="s">
        <v>726</v>
      </c>
      <c r="O127" s="241" t="s">
        <v>610</v>
      </c>
      <c r="P127" s="240" t="s">
        <v>727</v>
      </c>
      <c r="Q127" s="240" t="s">
        <v>380</v>
      </c>
      <c r="R127" s="238">
        <v>3899772</v>
      </c>
      <c r="S127" s="234" t="s">
        <v>728</v>
      </c>
      <c r="T127" s="235" t="s">
        <v>2177</v>
      </c>
      <c r="U127" s="236" t="s">
        <v>1236</v>
      </c>
      <c r="V127" s="153"/>
      <c r="W127" s="153"/>
      <c r="X127" s="153"/>
      <c r="Y127" s="153"/>
      <c r="Z127" s="153"/>
      <c r="AA127" s="153"/>
      <c r="AB127" s="153"/>
    </row>
    <row r="128" spans="1:28" ht="15">
      <c r="A128" s="153"/>
      <c r="B128" s="153"/>
      <c r="C128" s="153"/>
      <c r="D128" s="153"/>
      <c r="E128" s="153"/>
      <c r="F128" s="153"/>
      <c r="G128" s="153"/>
      <c r="H128" s="153"/>
      <c r="I128" s="153"/>
      <c r="J128" s="153"/>
      <c r="K128" s="239">
        <f t="shared" si="3"/>
        <v>94</v>
      </c>
      <c r="L128" s="237" t="s">
        <v>2298</v>
      </c>
      <c r="M128" s="237">
        <v>21836</v>
      </c>
      <c r="N128" s="240" t="s">
        <v>729</v>
      </c>
      <c r="O128" s="241" t="s">
        <v>610</v>
      </c>
      <c r="P128" s="246" t="s">
        <v>730</v>
      </c>
      <c r="Q128" s="240" t="s">
        <v>380</v>
      </c>
      <c r="R128" s="238">
        <v>3205363</v>
      </c>
      <c r="S128" s="234" t="s">
        <v>731</v>
      </c>
      <c r="T128" s="235" t="s">
        <v>754</v>
      </c>
      <c r="U128" s="236" t="s">
        <v>725</v>
      </c>
      <c r="V128" s="153"/>
      <c r="W128" s="153"/>
      <c r="X128" s="153"/>
      <c r="Y128" s="153"/>
      <c r="Z128" s="153"/>
      <c r="AA128" s="153"/>
      <c r="AB128" s="153"/>
    </row>
    <row r="129" spans="1:28" ht="15">
      <c r="A129" s="153"/>
      <c r="B129" s="153"/>
      <c r="C129" s="153"/>
      <c r="D129" s="153"/>
      <c r="E129" s="153"/>
      <c r="F129" s="153"/>
      <c r="G129" s="153"/>
      <c r="H129" s="153"/>
      <c r="I129" s="153"/>
      <c r="J129" s="153"/>
      <c r="K129" s="239">
        <f t="shared" si="3"/>
        <v>95</v>
      </c>
      <c r="L129" s="237" t="s">
        <v>2299</v>
      </c>
      <c r="M129" s="237">
        <v>21852</v>
      </c>
      <c r="N129" s="240" t="s">
        <v>732</v>
      </c>
      <c r="O129" s="241" t="s">
        <v>610</v>
      </c>
      <c r="P129" s="246" t="s">
        <v>733</v>
      </c>
      <c r="Q129" s="240" t="s">
        <v>380</v>
      </c>
      <c r="R129" s="238">
        <v>1147820</v>
      </c>
      <c r="S129" s="234" t="s">
        <v>734</v>
      </c>
      <c r="T129" s="235" t="s">
        <v>754</v>
      </c>
      <c r="U129" s="236" t="s">
        <v>725</v>
      </c>
      <c r="V129" s="153"/>
      <c r="W129" s="153"/>
      <c r="X129" s="153"/>
      <c r="Y129" s="153"/>
      <c r="Z129" s="153"/>
      <c r="AA129" s="153"/>
      <c r="AB129" s="153"/>
    </row>
    <row r="130" spans="1:28" ht="15">
      <c r="A130" s="153"/>
      <c r="B130" s="153"/>
      <c r="C130" s="153"/>
      <c r="D130" s="153"/>
      <c r="E130" s="153"/>
      <c r="F130" s="153"/>
      <c r="G130" s="153"/>
      <c r="H130" s="153"/>
      <c r="I130" s="153"/>
      <c r="J130" s="153"/>
      <c r="K130" s="239">
        <f t="shared" si="3"/>
        <v>96</v>
      </c>
      <c r="L130" s="237" t="s">
        <v>2300</v>
      </c>
      <c r="M130" s="237">
        <v>21869</v>
      </c>
      <c r="N130" s="240" t="s">
        <v>735</v>
      </c>
      <c r="O130" s="241" t="s">
        <v>610</v>
      </c>
      <c r="P130" s="246" t="s">
        <v>736</v>
      </c>
      <c r="Q130" s="240" t="s">
        <v>380</v>
      </c>
      <c r="R130" s="238">
        <v>3211622</v>
      </c>
      <c r="S130" s="234" t="s">
        <v>737</v>
      </c>
      <c r="T130" s="235" t="s">
        <v>754</v>
      </c>
      <c r="U130" s="236" t="s">
        <v>725</v>
      </c>
      <c r="V130" s="153"/>
      <c r="W130" s="153"/>
      <c r="X130" s="153"/>
      <c r="Y130" s="153"/>
      <c r="Z130" s="153"/>
      <c r="AA130" s="153"/>
      <c r="AB130" s="153"/>
    </row>
    <row r="131" spans="1:28" ht="15">
      <c r="A131" s="153"/>
      <c r="B131" s="153"/>
      <c r="C131" s="153"/>
      <c r="D131" s="153"/>
      <c r="E131" s="153"/>
      <c r="F131" s="153"/>
      <c r="G131" s="153"/>
      <c r="H131" s="153"/>
      <c r="I131" s="153"/>
      <c r="J131" s="153"/>
      <c r="K131" s="239">
        <f t="shared" si="3"/>
        <v>97</v>
      </c>
      <c r="L131" s="237" t="s">
        <v>2301</v>
      </c>
      <c r="M131" s="237">
        <v>23665</v>
      </c>
      <c r="N131" s="240" t="s">
        <v>738</v>
      </c>
      <c r="O131" s="241" t="s">
        <v>610</v>
      </c>
      <c r="P131" s="246" t="s">
        <v>733</v>
      </c>
      <c r="Q131" s="240" t="s">
        <v>380</v>
      </c>
      <c r="R131" s="238">
        <v>3283020</v>
      </c>
      <c r="S131" s="234" t="s">
        <v>739</v>
      </c>
      <c r="T131" s="235" t="s">
        <v>754</v>
      </c>
      <c r="U131" s="236" t="s">
        <v>725</v>
      </c>
      <c r="V131" s="153"/>
      <c r="W131" s="153"/>
      <c r="X131" s="153"/>
      <c r="Y131" s="153"/>
      <c r="Z131" s="153"/>
      <c r="AA131" s="153"/>
      <c r="AB131" s="153"/>
    </row>
    <row r="132" spans="1:28" ht="15">
      <c r="A132" s="153"/>
      <c r="B132" s="153"/>
      <c r="C132" s="153"/>
      <c r="D132" s="153"/>
      <c r="E132" s="153"/>
      <c r="F132" s="153"/>
      <c r="G132" s="153"/>
      <c r="H132" s="153"/>
      <c r="I132" s="153"/>
      <c r="J132" s="153"/>
      <c r="K132" s="239">
        <f t="shared" si="3"/>
        <v>98</v>
      </c>
      <c r="L132" s="237" t="s">
        <v>2302</v>
      </c>
      <c r="M132" s="237">
        <v>23962</v>
      </c>
      <c r="N132" s="240" t="s">
        <v>740</v>
      </c>
      <c r="O132" s="241" t="s">
        <v>610</v>
      </c>
      <c r="P132" s="240" t="s">
        <v>379</v>
      </c>
      <c r="Q132" s="240" t="s">
        <v>380</v>
      </c>
      <c r="R132" s="238">
        <v>1778129</v>
      </c>
      <c r="S132" s="234" t="s">
        <v>741</v>
      </c>
      <c r="T132" s="235" t="s">
        <v>754</v>
      </c>
      <c r="U132" s="236" t="s">
        <v>725</v>
      </c>
      <c r="V132" s="153"/>
      <c r="W132" s="153"/>
      <c r="X132" s="153"/>
      <c r="Y132" s="153"/>
      <c r="Z132" s="153"/>
      <c r="AA132" s="153"/>
      <c r="AB132" s="153"/>
    </row>
    <row r="133" spans="1:28" ht="15">
      <c r="A133" s="153"/>
      <c r="B133" s="153"/>
      <c r="C133" s="153"/>
      <c r="D133" s="153"/>
      <c r="E133" s="153"/>
      <c r="F133" s="153"/>
      <c r="G133" s="153"/>
      <c r="H133" s="153"/>
      <c r="I133" s="153"/>
      <c r="J133" s="153"/>
      <c r="K133" s="239">
        <f t="shared" si="3"/>
        <v>99</v>
      </c>
      <c r="L133" s="237" t="s">
        <v>2303</v>
      </c>
      <c r="M133" s="237">
        <v>38487</v>
      </c>
      <c r="N133" s="240" t="s">
        <v>742</v>
      </c>
      <c r="O133" s="241" t="s">
        <v>610</v>
      </c>
      <c r="P133" s="246" t="s">
        <v>743</v>
      </c>
      <c r="Q133" s="240" t="s">
        <v>380</v>
      </c>
      <c r="R133" s="238">
        <v>1922548</v>
      </c>
      <c r="S133" s="234" t="s">
        <v>744</v>
      </c>
      <c r="T133" s="235" t="s">
        <v>754</v>
      </c>
      <c r="U133" s="236" t="s">
        <v>725</v>
      </c>
      <c r="V133" s="153"/>
      <c r="W133" s="153"/>
      <c r="X133" s="153"/>
      <c r="Y133" s="153"/>
      <c r="Z133" s="153"/>
      <c r="AA133" s="153"/>
      <c r="AB133" s="153"/>
    </row>
    <row r="134" spans="1:28" ht="15">
      <c r="A134" s="153"/>
      <c r="B134" s="153"/>
      <c r="C134" s="153"/>
      <c r="D134" s="153"/>
      <c r="E134" s="153"/>
      <c r="F134" s="153"/>
      <c r="G134" s="153"/>
      <c r="H134" s="153"/>
      <c r="I134" s="153"/>
      <c r="J134" s="153"/>
      <c r="K134" s="239">
        <f t="shared" si="3"/>
        <v>100</v>
      </c>
      <c r="L134" s="237" t="s">
        <v>2304</v>
      </c>
      <c r="M134" s="237">
        <v>40883</v>
      </c>
      <c r="N134" s="240" t="s">
        <v>745</v>
      </c>
      <c r="O134" s="241" t="s">
        <v>610</v>
      </c>
      <c r="P134" s="246" t="s">
        <v>746</v>
      </c>
      <c r="Q134" s="240" t="s">
        <v>380</v>
      </c>
      <c r="R134" s="238">
        <v>1943430</v>
      </c>
      <c r="S134" s="234" t="s">
        <v>747</v>
      </c>
      <c r="T134" s="235" t="s">
        <v>754</v>
      </c>
      <c r="U134" s="236" t="s">
        <v>725</v>
      </c>
      <c r="V134" s="153"/>
      <c r="W134" s="153"/>
      <c r="X134" s="153"/>
      <c r="Y134" s="153"/>
      <c r="Z134" s="153"/>
      <c r="AA134" s="153"/>
      <c r="AB134" s="153"/>
    </row>
    <row r="135" spans="1:28" ht="15">
      <c r="A135" s="153"/>
      <c r="B135" s="153"/>
      <c r="C135" s="153"/>
      <c r="D135" s="153"/>
      <c r="E135" s="153"/>
      <c r="F135" s="153"/>
      <c r="G135" s="153"/>
      <c r="H135" s="153"/>
      <c r="I135" s="153"/>
      <c r="J135" s="153"/>
      <c r="K135" s="239">
        <f t="shared" si="3"/>
        <v>101</v>
      </c>
      <c r="L135" s="237" t="s">
        <v>2305</v>
      </c>
      <c r="M135" s="237">
        <v>43335</v>
      </c>
      <c r="N135" s="240" t="s">
        <v>748</v>
      </c>
      <c r="O135" s="241" t="s">
        <v>610</v>
      </c>
      <c r="P135" s="246" t="s">
        <v>736</v>
      </c>
      <c r="Q135" s="240" t="s">
        <v>380</v>
      </c>
      <c r="R135" s="238">
        <v>2298007</v>
      </c>
      <c r="S135" s="234" t="s">
        <v>749</v>
      </c>
      <c r="T135" s="235" t="s">
        <v>754</v>
      </c>
      <c r="U135" s="236" t="s">
        <v>725</v>
      </c>
      <c r="V135" s="153"/>
      <c r="W135" s="153"/>
      <c r="X135" s="153"/>
      <c r="Y135" s="153"/>
      <c r="Z135" s="153"/>
      <c r="AA135" s="153"/>
      <c r="AB135" s="153"/>
    </row>
    <row r="136" spans="1:28" ht="15">
      <c r="A136" s="153"/>
      <c r="B136" s="153"/>
      <c r="C136" s="153"/>
      <c r="D136" s="153"/>
      <c r="E136" s="153"/>
      <c r="F136" s="153"/>
      <c r="G136" s="153"/>
      <c r="H136" s="153"/>
      <c r="I136" s="153"/>
      <c r="J136" s="153"/>
      <c r="K136" s="239">
        <f t="shared" si="3"/>
        <v>102</v>
      </c>
      <c r="L136" s="237" t="s">
        <v>2306</v>
      </c>
      <c r="M136" s="237">
        <v>46173</v>
      </c>
      <c r="N136" s="240" t="s">
        <v>750</v>
      </c>
      <c r="O136" s="241" t="s">
        <v>610</v>
      </c>
      <c r="P136" s="246" t="s">
        <v>751</v>
      </c>
      <c r="Q136" s="240" t="s">
        <v>380</v>
      </c>
      <c r="R136" s="238">
        <v>2650029</v>
      </c>
      <c r="S136" s="234" t="s">
        <v>752</v>
      </c>
      <c r="T136" s="235" t="s">
        <v>754</v>
      </c>
      <c r="U136" s="236" t="s">
        <v>725</v>
      </c>
      <c r="V136" s="153"/>
      <c r="W136" s="153"/>
      <c r="X136" s="153"/>
      <c r="Y136" s="153"/>
      <c r="Z136" s="153"/>
      <c r="AA136" s="153"/>
      <c r="AB136" s="153"/>
    </row>
    <row r="137" spans="1:28" ht="1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row>
    <row r="138" spans="1:28" ht="1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row>
    <row r="139" spans="1:28" ht="1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row>
    <row r="140" spans="1:28" ht="1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row>
    <row r="141" spans="1:28" ht="1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row>
    <row r="142" spans="1:28" ht="1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row>
    <row r="143" spans="1:28" ht="1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row>
    <row r="144" spans="1:28" ht="1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row>
    <row r="145" spans="1:28" ht="1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row>
    <row r="146" spans="1:28" ht="1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row>
    <row r="147" spans="1:28" ht="1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row>
    <row r="148" spans="1:28" ht="1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row>
    <row r="149" spans="1:28" ht="1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row>
    <row r="150" spans="1:28" ht="1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row>
    <row r="151" spans="1:28" ht="1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row>
    <row r="152" spans="1:28" ht="1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row>
    <row r="153" spans="1:28" ht="1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row>
    <row r="154" spans="1:28" ht="1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row>
    <row r="155" spans="1:28" ht="1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row>
    <row r="156" spans="1:28" ht="1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row>
    <row r="157" spans="1:28" ht="1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row>
    <row r="158" spans="1:28" ht="1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row>
    <row r="159" spans="1:28" ht="1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row>
    <row r="160" spans="1:28" ht="1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row>
    <row r="161" spans="1:28" ht="1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row>
    <row r="162" spans="1:28" ht="1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row>
    <row r="163" spans="1:28" ht="1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row>
    <row r="164" spans="1:28" ht="1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row>
    <row r="165" spans="1:28" ht="1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row>
    <row r="166" spans="1:28" ht="1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row>
    <row r="167" spans="1:28" ht="1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row>
    <row r="168" spans="1:28" ht="1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row>
    <row r="169" spans="1:28" ht="1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row>
    <row r="170" spans="1:28" ht="1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row>
    <row r="171" spans="1:28" ht="1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row>
    <row r="172" spans="1:28" ht="1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row>
    <row r="173" spans="1:28" ht="1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row>
    <row r="174" spans="1:28" ht="1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row>
    <row r="175" spans="1:28" ht="1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row>
    <row r="176" spans="1:28" ht="1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row>
    <row r="177" spans="1:28" ht="1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row>
    <row r="178" spans="1:28" ht="1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row>
    <row r="179" spans="1:28" ht="1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row>
    <row r="180" spans="1:28" ht="1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row>
    <row r="181" spans="1:28" ht="1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row>
    <row r="182" spans="1:28" ht="1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row>
    <row r="183" spans="1:28" ht="1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row>
    <row r="184" spans="1:28" ht="1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row>
    <row r="185" spans="1:28" ht="1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row>
    <row r="186" spans="1:28" ht="1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row>
    <row r="187" spans="1:28" ht="1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row>
    <row r="188" spans="1:28" ht="1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row>
    <row r="189" spans="1:28" ht="1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row>
    <row r="190" spans="1:28" ht="1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row>
    <row r="191" spans="1:28" ht="1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row>
    <row r="192" spans="1:28" ht="1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row>
    <row r="193" spans="1:28" ht="1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row>
    <row r="194" spans="1:28" ht="1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row>
    <row r="195" spans="1:28" ht="1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row>
    <row r="196" spans="1:28" ht="1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row>
    <row r="197" spans="1:28" ht="1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row>
    <row r="198" spans="1:28" ht="1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row>
    <row r="199" spans="1:28" ht="1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row>
    <row r="200" spans="1:28" ht="1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row>
    <row r="201" spans="1:28" ht="1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row>
    <row r="202" spans="1:28" ht="1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row>
    <row r="203" spans="1:28" ht="1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row>
    <row r="204" spans="1:28" ht="1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row>
    <row r="205" spans="1:28" ht="1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row>
    <row r="206" spans="1:28" ht="1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row>
    <row r="207" spans="1:28" ht="1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row>
    <row r="208" spans="1:28" ht="1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row>
    <row r="209" spans="1:28" ht="1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row>
    <row r="210" spans="1:28" ht="1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row>
    <row r="211" spans="1:28" ht="1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row>
    <row r="212" spans="1:28" ht="1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row>
    <row r="213" spans="1:28" ht="1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row>
    <row r="214" spans="1:28" ht="1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row>
    <row r="215" spans="1:28" ht="1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row>
    <row r="216" spans="1:28" ht="1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row>
    <row r="217" spans="1:28" ht="1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row>
    <row r="218" spans="1:28" ht="1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row>
    <row r="219" spans="1:28" ht="1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row>
    <row r="220" spans="1:28" ht="1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row>
    <row r="221" spans="1:28" ht="1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row>
    <row r="222" spans="1:28" ht="1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row>
    <row r="223" spans="1:28" ht="1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row>
    <row r="224" spans="1:28" ht="1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row>
    <row r="225" spans="1:28" ht="1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row>
    <row r="226" spans="1:28" ht="1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row>
    <row r="227" spans="1:28" ht="1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row>
    <row r="228" spans="1:28" ht="1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row>
    <row r="229" spans="1:28" ht="1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row>
    <row r="230" spans="1:28" ht="1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row>
    <row r="231" spans="1:28" ht="1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row>
    <row r="232" spans="1:28" ht="1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row>
    <row r="233" spans="1:28" ht="1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row>
    <row r="234" spans="1:28" ht="1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row>
    <row r="235" spans="1:28" ht="1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row>
    <row r="236" spans="1:28" ht="1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row>
    <row r="237" spans="1:28" ht="1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row>
    <row r="238" spans="1:28" ht="1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row>
    <row r="239" spans="1:28" ht="1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row>
    <row r="240" spans="1:28" ht="1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row>
    <row r="241" spans="1:28" ht="1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row>
    <row r="242" spans="1:28" ht="1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row>
    <row r="243" spans="1:28" ht="1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row>
    <row r="244" spans="1:28" ht="1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row>
    <row r="245" spans="1:28" ht="1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row>
    <row r="246" spans="1:28" ht="1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row>
    <row r="247" spans="1:28" ht="1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row>
    <row r="248" spans="1:28" ht="1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row>
    <row r="249" spans="1:28" ht="1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row>
    <row r="250" spans="1:28" ht="1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row>
    <row r="251" spans="1:28" ht="1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row>
    <row r="252" spans="1:28" ht="1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row>
    <row r="253" spans="1:28" ht="1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row>
    <row r="254" spans="1:28" ht="1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row>
    <row r="255" spans="1:28" ht="1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row>
    <row r="256" spans="1:28" ht="1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row>
    <row r="257" spans="1:28" ht="1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row>
    <row r="258" spans="1:28" ht="1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row>
    <row r="259" spans="1:28" ht="1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row>
    <row r="260" spans="1:28" ht="1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row>
    <row r="261" spans="1:28" ht="1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row>
    <row r="262" spans="1:28" ht="1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row>
    <row r="263" spans="1:28" ht="1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row>
    <row r="264" spans="1:28" ht="1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row>
    <row r="265" spans="1:28" ht="1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row>
    <row r="266" spans="1:28" ht="1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row>
    <row r="267" spans="1:28" ht="1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row>
    <row r="268" spans="1:28" ht="1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row>
    <row r="269" spans="1:28" ht="1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row>
    <row r="270" spans="1:28" ht="1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row>
    <row r="271" spans="1:28" ht="1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row>
    <row r="272" spans="1:28" ht="1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row>
    <row r="273" spans="1:28" ht="15">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row>
    <row r="274" spans="1:28" ht="15">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row>
    <row r="275" spans="1:28" ht="15">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row>
    <row r="276" spans="1:28" ht="15">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row>
    <row r="277" spans="1:28" ht="15">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row>
    <row r="278" spans="1:28" ht="15">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row>
    <row r="279" spans="1:28" ht="15">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row>
    <row r="280" spans="1:28" ht="1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row>
    <row r="281" spans="1:28" ht="15">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row>
    <row r="282" spans="1:28" ht="15">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row>
    <row r="283" spans="1:28" ht="15">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row>
    <row r="284" spans="1:28" ht="1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row>
    <row r="285" spans="1:28" ht="15">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row>
    <row r="286" spans="1:28" ht="15">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row>
    <row r="287" spans="1:28" ht="15">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row>
    <row r="288" spans="1:28" ht="1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row>
    <row r="289" spans="1:28" ht="15">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row>
    <row r="290" spans="1:28" ht="1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row>
    <row r="291" spans="1:28" ht="15">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row>
    <row r="292" spans="1:28" ht="15">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row>
    <row r="293" spans="1:28" ht="15">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row>
    <row r="294" spans="1:28" ht="15">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row>
    <row r="295" spans="1:28" ht="15">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row>
    <row r="296" spans="1:28" ht="15">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row>
    <row r="297" spans="1:28" ht="15">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row>
    <row r="298" spans="1:28" ht="15">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row>
    <row r="299" spans="1:28" ht="15">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row>
    <row r="300" spans="1:28" ht="15">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row>
    <row r="301" spans="1:28" ht="15">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row>
    <row r="302" spans="1:28" ht="15">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row>
    <row r="303" spans="1:28" ht="15">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row>
    <row r="304" spans="1:28" ht="15">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row>
    <row r="305" spans="1:28" ht="15">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row>
    <row r="306" spans="1:28" ht="15">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row>
    <row r="307" spans="1:28" ht="15">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row>
    <row r="308" spans="1:28" ht="15">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row>
    <row r="309" spans="1:28" ht="15">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row>
    <row r="310" spans="1:28" ht="15">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row>
    <row r="311" spans="1:28" ht="1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row>
    <row r="312" spans="1:28" ht="15">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row>
    <row r="313" spans="1:28" ht="15">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row>
    <row r="314" spans="1:28" ht="15">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row>
    <row r="315" spans="1:28" ht="1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row>
    <row r="316" spans="1:28" ht="1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row>
    <row r="317" spans="1:28" ht="1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row>
    <row r="318" spans="1:28" ht="1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row>
    <row r="319" spans="1:28" ht="1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row>
    <row r="320" spans="1:28" ht="1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row>
    <row r="321" spans="1:28" ht="1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row>
    <row r="322" spans="1:28" ht="1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row>
    <row r="323" spans="1:28" ht="1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row>
    <row r="324" spans="1:28" ht="1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row>
    <row r="325" spans="1:28" ht="1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row>
    <row r="326" spans="1:28" ht="1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row>
    <row r="327" spans="1:28" ht="1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row>
    <row r="328" spans="1:28" ht="1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row>
    <row r="329" spans="1:28" ht="1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row>
    <row r="330" spans="1:28" ht="1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row>
    <row r="331" spans="1:28" ht="1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row>
    <row r="332" spans="1:28" ht="1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row>
    <row r="333" spans="1:28" ht="1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row>
    <row r="334" spans="1:28" ht="1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row>
    <row r="335" spans="1:28" ht="1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row>
    <row r="336" spans="1:28" ht="1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row>
    <row r="337" spans="1:28" ht="1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row>
    <row r="338" spans="1:28" ht="1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row>
    <row r="339" spans="1:28" ht="1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row>
    <row r="340" spans="1:28" ht="1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row>
    <row r="341" spans="1:28" ht="1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row>
    <row r="342" spans="1:28" ht="1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row>
    <row r="343" spans="1:28" ht="1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row>
    <row r="344" spans="1:28" ht="1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row>
    <row r="345" spans="1:28" ht="1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row>
    <row r="346" spans="1:28" ht="1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row>
    <row r="347" spans="1:28" ht="1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row>
    <row r="348" spans="1:28" ht="1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row>
    <row r="349" spans="1:28" ht="1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row>
    <row r="350" spans="1:28" ht="1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row>
    <row r="351" spans="1:28" ht="1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row>
    <row r="352" spans="1:28" ht="1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row>
    <row r="353" spans="1:28" ht="1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row>
    <row r="354" spans="1:28" ht="1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row>
    <row r="355" spans="1:28" ht="1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row>
    <row r="356" spans="1:28" ht="1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row>
    <row r="357" spans="1:28" ht="1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row>
    <row r="358" spans="1:28" ht="1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row>
    <row r="359" spans="1:28" ht="1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row>
    <row r="360" spans="1:28" ht="1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row>
    <row r="361" spans="1:28" ht="1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row>
    <row r="362" spans="1:28" ht="1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row>
    <row r="363" spans="1:28" ht="1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row>
    <row r="364" spans="1:28" ht="1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row>
    <row r="365" spans="1:28" ht="1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row>
    <row r="366" spans="1:28" ht="1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row>
    <row r="367" spans="1:28" ht="1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row>
    <row r="368" spans="1:28" ht="1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row>
    <row r="369" spans="1:28" ht="1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row>
    <row r="370" spans="1:28" ht="1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row>
    <row r="371" spans="1:28" ht="1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row>
    <row r="372" spans="1:28" ht="1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row>
    <row r="373" spans="1:28" ht="1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row>
    <row r="374" spans="1:28" ht="1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row>
    <row r="375" spans="1:28" ht="1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row>
    <row r="376" spans="1:28" ht="1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row>
    <row r="377" spans="1:28" ht="1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row>
    <row r="378" spans="1:28" ht="1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row>
    <row r="379" spans="1:28" ht="1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row>
    <row r="380" spans="1:28" ht="1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row>
    <row r="381" spans="1:28" ht="1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row>
    <row r="382" spans="1:28" ht="1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row>
    <row r="383" spans="1:28" ht="1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row>
    <row r="384" spans="1:28" ht="1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row>
    <row r="385" spans="1:28" ht="1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row>
    <row r="386" spans="1:28" ht="1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row>
    <row r="387" spans="1:28" ht="1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row>
    <row r="388" spans="1:28" ht="1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row>
    <row r="389" spans="1:28" ht="1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row>
    <row r="390" spans="1:28" ht="1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row>
    <row r="391" spans="1:28" ht="1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row>
    <row r="392" spans="1:28" ht="1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row>
    <row r="393" spans="1:28" ht="1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row>
    <row r="394" spans="1:28" ht="1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row>
    <row r="395" spans="1:28" ht="1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row>
    <row r="396" spans="1:28" ht="1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row>
    <row r="397" spans="1:28" ht="1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row>
    <row r="398" spans="1:28" ht="1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row>
    <row r="399" spans="1:28" ht="1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row>
    <row r="400" spans="1:28" ht="1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row>
    <row r="401" spans="1:28" ht="1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row>
    <row r="402" spans="1:28" ht="1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row>
    <row r="403" spans="1:28" ht="1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row>
    <row r="404" spans="1:28" ht="1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row>
    <row r="405" spans="1:28" ht="1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row>
    <row r="406" spans="1:28" ht="1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row>
    <row r="407" spans="1:28" ht="1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row>
    <row r="408" spans="1:28" ht="1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row>
    <row r="409" spans="1:28" ht="1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row>
    <row r="410" spans="1:28" ht="1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row>
    <row r="411" spans="1:28" ht="1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row>
    <row r="412" spans="1:28" ht="1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row>
    <row r="413" spans="1:28" ht="1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row>
    <row r="414" spans="1:28" ht="1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row>
    <row r="415" spans="1:28" ht="1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row>
    <row r="416" spans="1:28" ht="1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row>
    <row r="417" spans="1:28" ht="1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row>
    <row r="418" spans="1:28" ht="1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row>
    <row r="419" spans="1:28" ht="1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row>
    <row r="420" spans="1:28" ht="1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row>
    <row r="421" spans="1:28" ht="1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row>
    <row r="422" spans="1:28" ht="1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row>
    <row r="423" spans="1:28" ht="1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row>
    <row r="424" spans="1:28" ht="1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row>
    <row r="425" spans="1:28" ht="1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row>
    <row r="426" spans="1:28" ht="1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row>
    <row r="427" spans="1:28" ht="1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row>
    <row r="428" spans="1:28" ht="1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row>
    <row r="429" spans="1:28" ht="1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row>
    <row r="430" spans="1:28" ht="1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row>
    <row r="431" spans="1:28" ht="1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row>
    <row r="432" spans="1:28" ht="1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row>
    <row r="433" spans="1:28" ht="1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row>
    <row r="434" spans="1:28" ht="1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row>
    <row r="435" spans="1:28" ht="1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row>
    <row r="436" spans="1:28" ht="1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row>
    <row r="437" spans="1:28" ht="1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row>
    <row r="438" spans="1:28" ht="1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row>
    <row r="439" spans="1:28" ht="1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row>
    <row r="440" spans="1:28" ht="1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row>
    <row r="441" spans="1:28" ht="1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row>
    <row r="442" spans="1:28" ht="1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row>
    <row r="443" spans="1:28" ht="1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row>
    <row r="444" spans="1:28" ht="1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row>
    <row r="445" spans="1:28" ht="1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row>
    <row r="446" spans="1:28" ht="1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row>
    <row r="447" spans="1:28" ht="1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row>
    <row r="448" spans="1:28" ht="1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row>
    <row r="449" spans="1:28" ht="1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row>
    <row r="450" spans="1:28" ht="1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row>
    <row r="451" spans="1:28" ht="1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row>
    <row r="452" spans="1:28" ht="1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row>
    <row r="453" spans="1:28" ht="1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row>
    <row r="454" spans="1:28" ht="1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row>
    <row r="455" spans="1:28" ht="1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row>
    <row r="456" spans="1:28" ht="1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row>
    <row r="457" spans="1:28" ht="1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row>
    <row r="458" spans="1:28" ht="1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row>
    <row r="459" spans="1:28" ht="1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row>
    <row r="460" spans="1:28" ht="1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row>
    <row r="461" spans="1:28" ht="1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row>
    <row r="462" spans="1:28" ht="1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row>
    <row r="463" spans="1:28" ht="1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row>
    <row r="464" spans="1:28" ht="1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row>
    <row r="465" spans="1:28" ht="1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row>
    <row r="466" spans="1:28" ht="1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row>
    <row r="467" spans="1:28" ht="1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row>
    <row r="468" spans="1:28" ht="1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row>
    <row r="469" spans="1:28" ht="1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row>
    <row r="470" spans="1:28" ht="1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row>
    <row r="471" spans="1:28" ht="1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row>
    <row r="472" spans="1:28" ht="1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row>
    <row r="473" spans="1:28" ht="1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row>
    <row r="474" spans="1:28" ht="1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row>
    <row r="475" spans="1:28" ht="1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row>
    <row r="476" spans="1:28" ht="1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row>
    <row r="477" spans="1:28" ht="1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row>
    <row r="478" spans="1:28" ht="1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row>
    <row r="479" spans="1:28" ht="1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row>
    <row r="480" spans="1:28" ht="1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row>
    <row r="481" spans="1:28" ht="1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row>
    <row r="482" spans="1:28" ht="1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row>
    <row r="483" spans="1:28" ht="1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row>
    <row r="484" spans="1:28" ht="1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row>
    <row r="485" spans="1:28" ht="1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row>
    <row r="486" spans="1:28" ht="1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row>
    <row r="487" spans="1:28" ht="1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row>
    <row r="488" spans="1:28" ht="1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row>
    <row r="489" spans="1:28" ht="1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row>
    <row r="490" spans="1:28" ht="1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row>
    <row r="491" spans="1:28" ht="1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row>
    <row r="492" spans="1:28" ht="1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row>
    <row r="493" spans="1:28" ht="1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row>
    <row r="494" spans="1:28" ht="1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row>
    <row r="495" spans="1:28" ht="1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row>
    <row r="496" spans="1:28" ht="1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row>
    <row r="497" spans="1:28" ht="1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row>
    <row r="498" spans="1:28" ht="1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row>
    <row r="499" spans="1:28" ht="1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row>
    <row r="500" spans="1:28" ht="1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row>
    <row r="501" spans="1:28" ht="1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row>
    <row r="502" spans="1:28" ht="1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row>
    <row r="503" spans="1:28" ht="1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row>
    <row r="504" spans="1:28" ht="1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row>
    <row r="505" spans="1:28" ht="1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row>
    <row r="506" spans="1:28" ht="1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row>
    <row r="507" spans="1:28" ht="1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row>
    <row r="508" spans="1:28" ht="1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row>
    <row r="509" spans="1:28" ht="1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row>
    <row r="510" spans="1:28" ht="1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row>
    <row r="511" spans="1:28" ht="1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row>
    <row r="512" spans="1:28" ht="1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row>
    <row r="513" spans="1:28" ht="1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row>
    <row r="514" spans="1:28" ht="1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row>
    <row r="515" spans="1:28" ht="1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row>
    <row r="516" spans="1:28" ht="1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row>
    <row r="517" spans="1:28" ht="1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row>
    <row r="518" spans="1:28" ht="1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row>
    <row r="519" spans="1:28" ht="1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row>
    <row r="520" spans="1:28" ht="1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row>
    <row r="521" spans="1:28" ht="1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row>
    <row r="522" spans="1:28" ht="1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row>
    <row r="523" spans="1:28" ht="1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row>
    <row r="524" spans="1:28" ht="1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row>
    <row r="525" spans="1:28" ht="1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row>
    <row r="526" spans="1:28" ht="1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row>
    <row r="527" spans="1:28" ht="1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row>
    <row r="528" spans="1:28" ht="1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row>
    <row r="529" spans="1:28" ht="1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row>
    <row r="530" spans="1:28" ht="1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row>
    <row r="531" spans="1:28" ht="1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row>
    <row r="532" spans="1:28" ht="1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row>
    <row r="533" spans="1:28" ht="1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row>
    <row r="534" spans="1:28" ht="1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row>
    <row r="535" spans="1:28" ht="1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row>
    <row r="536" spans="1:28" ht="1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row>
    <row r="537" spans="1:28" ht="1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row>
    <row r="538" spans="1:28" ht="1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row>
    <row r="539" spans="1:28" ht="1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row>
    <row r="540" spans="1:28" ht="1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row>
    <row r="541" spans="1:28" ht="1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row>
    <row r="542" spans="1:28" ht="1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row>
    <row r="543" spans="1:28" ht="1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row>
    <row r="544" spans="1:28" ht="1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row>
    <row r="545" spans="1:28" ht="1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row>
    <row r="546" spans="1:28" ht="1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row>
    <row r="547" spans="1:28" ht="1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row>
    <row r="548" spans="1:28" ht="1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row>
    <row r="549" spans="1:28" ht="1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row>
    <row r="550" spans="1:28" ht="1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row>
    <row r="551" spans="1:28" ht="1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row>
    <row r="552" spans="1:28" ht="1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row>
    <row r="553" spans="1:28" ht="1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row>
    <row r="554" spans="1:28" ht="1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row>
    <row r="555" spans="1:28" ht="1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row>
    <row r="556" spans="1:28" ht="1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row>
    <row r="557" spans="1:28" ht="1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row>
    <row r="558" spans="1:28" ht="1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row>
    <row r="559" spans="1:28" ht="1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row>
    <row r="560" spans="1:28" ht="1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row>
    <row r="561" spans="1:28" ht="1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row>
    <row r="562" spans="1:28" ht="1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row>
    <row r="563" spans="1:28" ht="1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row>
    <row r="564" spans="1:28" ht="1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row>
    <row r="565" spans="1:28" ht="1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row>
    <row r="566" spans="1:28" ht="1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row>
    <row r="567" spans="1:28" ht="1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row>
    <row r="568" spans="1:28" ht="1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row>
    <row r="569" spans="1:28" ht="1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row>
    <row r="570" spans="1:28" ht="1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row>
    <row r="571" spans="1:28" ht="1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row>
    <row r="572" spans="1:28" ht="1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row>
    <row r="573" spans="1:28" ht="1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row>
    <row r="574" spans="1:28" ht="1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row>
    <row r="575" spans="1:28" ht="1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row>
    <row r="576" spans="1:28" ht="1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row>
    <row r="577" spans="1:28" ht="1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row>
    <row r="578" spans="1:28" ht="1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row>
    <row r="579" spans="1:28" ht="1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row>
    <row r="580" spans="1:28" ht="1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row>
    <row r="581" spans="1:28" ht="1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row>
    <row r="582" spans="1:28" ht="1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row>
    <row r="583" spans="1:28" ht="1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row>
    <row r="584" spans="1:28" ht="1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row>
    <row r="585" spans="1:28" ht="1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row>
    <row r="586" spans="1:28" ht="1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row>
    <row r="587" spans="1:28" ht="1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row>
    <row r="588" spans="1:28" ht="1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row>
    <row r="589" spans="1:28" ht="1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row>
    <row r="590" spans="1:28" ht="1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row>
    <row r="591" spans="1:28" ht="1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row>
    <row r="592" spans="1:28" ht="1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row>
    <row r="593" spans="1:28" ht="1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row>
    <row r="594" spans="1:28" ht="1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row>
    <row r="595" spans="1:28" ht="1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row>
    <row r="596" spans="1:28" ht="1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row>
    <row r="597" spans="1:28" ht="1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row>
    <row r="598" spans="1:28" ht="1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row>
    <row r="599" spans="1:28" ht="1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row>
    <row r="600" spans="1:28" ht="1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row>
    <row r="601" spans="1:28" ht="1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row>
    <row r="602" spans="1:28" ht="1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row>
    <row r="603" spans="1:28" ht="1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row>
    <row r="604" spans="1:28" ht="1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row>
    <row r="605" spans="1:28" ht="1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row>
    <row r="606" spans="1:28" ht="1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row>
    <row r="607" spans="1:28" ht="1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row>
    <row r="608" spans="1:28" ht="1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row>
    <row r="609" spans="1:28" ht="1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row>
    <row r="610" spans="1:28" ht="1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row>
    <row r="611" spans="1:28" ht="1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row>
    <row r="612" spans="1:28" ht="1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row>
    <row r="613" spans="1:28" ht="1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row>
    <row r="614" spans="1:28" ht="1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row>
    <row r="615" spans="1:28" ht="1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row>
    <row r="616" spans="1:28" ht="1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row>
    <row r="617" spans="1:28" ht="1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row>
    <row r="618" spans="1:28" ht="1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row>
    <row r="619" spans="1:28" ht="1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row>
    <row r="620" spans="1:28" ht="1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row>
    <row r="621" spans="1:28" ht="1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row>
    <row r="622" spans="1:28" ht="1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row>
    <row r="623" spans="1:28" ht="1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row>
    <row r="624" spans="1:28" ht="1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row>
    <row r="625" spans="1:28" ht="1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row>
    <row r="626" spans="1:28" ht="1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row>
    <row r="627" spans="1:28" ht="1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row>
    <row r="628" spans="1:28" ht="1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row>
    <row r="629" spans="1:28" ht="1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row>
    <row r="630" spans="1:28" ht="1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row>
    <row r="631" spans="1:28" ht="1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row>
    <row r="632" spans="1:28" ht="1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row>
    <row r="633" spans="1:28" ht="1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row>
    <row r="634" spans="1:28" ht="1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row>
    <row r="635" spans="1:28" ht="1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row>
    <row r="636" spans="1:28" ht="1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row>
    <row r="637" spans="1:28" ht="1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row>
    <row r="638" spans="1:28" ht="1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row>
    <row r="639" spans="1:28" ht="1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row>
    <row r="640" spans="1:28" ht="1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row>
    <row r="641" spans="1:28" ht="1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row>
    <row r="642" spans="1:28" ht="1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row>
    <row r="643" spans="1:28" ht="1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row>
    <row r="644" spans="1:28" ht="1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row>
    <row r="645" spans="1:28" ht="1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row>
    <row r="646" spans="1:28" ht="1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row>
    <row r="647" spans="1:28" ht="1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row>
    <row r="648" spans="1:28" ht="1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row>
    <row r="649" spans="1:28" ht="1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row>
    <row r="650" spans="1:28" ht="1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row>
    <row r="651" spans="1:28" ht="1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row>
    <row r="652" spans="1:28" ht="1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row>
    <row r="653" spans="1:28" ht="1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row>
    <row r="654" spans="1:28" ht="1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row>
    <row r="655" spans="1:28" ht="1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row>
    <row r="656" spans="1:28" ht="1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row>
    <row r="657" spans="1:28" ht="1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row>
    <row r="658" spans="1:28" ht="1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row>
    <row r="659" spans="1:28" ht="1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row>
    <row r="660" spans="1:28" ht="1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row>
    <row r="661" spans="1:28" ht="1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row>
    <row r="662" spans="1:28" ht="1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row>
    <row r="663" spans="1:28" ht="1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row>
    <row r="664" spans="1:28" ht="1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row>
    <row r="665" spans="1:28" ht="1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row>
    <row r="666" spans="1:28" ht="1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row>
    <row r="667" spans="1:28" ht="1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row>
    <row r="668" spans="1:28" ht="1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row>
    <row r="669" spans="1:28" ht="1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row>
    <row r="670" spans="1:28" ht="1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row>
    <row r="671" spans="1:28" ht="1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row>
    <row r="672" spans="1:28" ht="1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row>
    <row r="673" spans="1:28" ht="1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row>
    <row r="674" spans="1:28" ht="1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row>
    <row r="675" spans="1:28" ht="1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row>
    <row r="676" spans="1:28" ht="1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row>
    <row r="677" spans="1:28" ht="1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row>
    <row r="678" spans="1:28" ht="1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row>
    <row r="679" spans="1:28" ht="1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row>
    <row r="680" spans="1:28" ht="1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row>
    <row r="681" spans="1:28" ht="1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row>
    <row r="682" spans="1:28" ht="1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row>
    <row r="683" spans="1:28" ht="1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row>
    <row r="684" spans="1:28" ht="1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row>
    <row r="685" spans="1:28" ht="1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row>
    <row r="686" spans="1:28" ht="1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row>
    <row r="687" spans="1:28" ht="1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row>
    <row r="688" spans="1:28" ht="1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row>
    <row r="689" spans="1:28" ht="1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row>
    <row r="690" spans="1:28" ht="1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row>
    <row r="691" spans="1:28" ht="1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row>
    <row r="692" spans="1:28" ht="1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row>
    <row r="693" spans="1:28" ht="1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row>
    <row r="694" spans="1:28" ht="1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row>
    <row r="695" spans="1:28" ht="1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row>
    <row r="696" spans="1:28" ht="1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row>
    <row r="697" spans="1:28" ht="1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row>
    <row r="698" spans="1:28" ht="1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row>
    <row r="699" spans="1:28" ht="1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row>
    <row r="700" spans="1:28" ht="1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row>
    <row r="701" spans="1:28" ht="1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row>
    <row r="702" spans="1:28" ht="1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row>
    <row r="703" spans="1:28" ht="1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row>
    <row r="704" spans="1:28" ht="1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row>
    <row r="705" spans="1:28" ht="1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row>
    <row r="706" spans="1:28" ht="1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row>
    <row r="707" spans="1:28" ht="1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row>
    <row r="708" spans="1:28" ht="1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row>
    <row r="709" spans="1:28" ht="1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row>
    <row r="710" spans="1:28" ht="1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row>
    <row r="711" spans="1:28" ht="1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row>
    <row r="712" spans="1:28" ht="1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row>
    <row r="713" spans="1:28" ht="1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row>
    <row r="714" spans="1:28" ht="1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row>
    <row r="715" spans="1:28" ht="1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row>
    <row r="716" spans="1:28" ht="1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row>
    <row r="717" spans="1:28" ht="1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row>
    <row r="718" spans="1:28" ht="1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row>
    <row r="719" spans="1:28" ht="1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row>
    <row r="720" spans="1:28" ht="1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row>
    <row r="721" spans="1:28" ht="1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row>
    <row r="722" spans="1:28" ht="1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row>
    <row r="723" spans="1:28" ht="1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row>
    <row r="724" spans="1:28" ht="1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row>
    <row r="725" spans="1:28" ht="1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row>
    <row r="726" spans="1:28" ht="1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row>
    <row r="727" spans="1:28" ht="1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row>
    <row r="728" spans="1:28" ht="1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row>
    <row r="729" spans="1:28" ht="1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row>
    <row r="730" spans="1:28" ht="1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row>
    <row r="731" spans="1:28" ht="1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row>
    <row r="732" spans="1:28" ht="1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row>
    <row r="733" spans="1:28" ht="1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row>
    <row r="734" spans="1:28" ht="1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row>
    <row r="735" spans="1:28" ht="1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row>
    <row r="736" spans="1:28" ht="1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row>
    <row r="737" spans="1:28" ht="1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row>
    <row r="738" spans="1:28" ht="1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row>
    <row r="739" spans="1:28" ht="1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row>
    <row r="740" spans="1:28" ht="1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row>
    <row r="741" spans="1:28" ht="1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row>
    <row r="742" spans="1:28" ht="1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row>
    <row r="743" spans="1:28" ht="1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row>
    <row r="744" spans="1:28" ht="1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row>
    <row r="745" spans="1:28" ht="1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row>
    <row r="746" spans="1:28" ht="1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row>
    <row r="747" spans="1:28" ht="1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row>
    <row r="748" spans="1:28" ht="1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row>
    <row r="749" spans="1:28" ht="1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row>
    <row r="750" spans="1:28" ht="1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row>
    <row r="751" spans="1:28" ht="1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row>
    <row r="752" spans="1:28" ht="1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row>
    <row r="753" spans="1:28" ht="1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row>
    <row r="754" spans="1:28" ht="1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row>
    <row r="755" spans="1:28" ht="1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row>
    <row r="756" spans="1:28" ht="1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row>
    <row r="757" spans="1:28" ht="1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row>
    <row r="758" spans="1:28" ht="1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row>
    <row r="759" spans="1:28" ht="1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row>
    <row r="760" spans="1:28" ht="1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row>
    <row r="761" spans="1:28" ht="1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row>
    <row r="762" spans="1:28" ht="1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row>
    <row r="763" spans="1:28" ht="1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row>
    <row r="764" spans="1:28" ht="1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row>
    <row r="765" spans="1:28" ht="1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row>
    <row r="766" spans="1:28" ht="1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row>
    <row r="767" spans="1:28" ht="1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row>
    <row r="768" spans="1:28" ht="1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row>
    <row r="769" spans="1:28" ht="1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row>
    <row r="770" spans="1:28" ht="1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row>
    <row r="771" spans="1:28" ht="1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row>
    <row r="772" spans="1:28" ht="1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row>
    <row r="773" spans="1:28" ht="1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row>
    <row r="774" spans="1:28" ht="1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row>
    <row r="775" spans="1:28" ht="1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row>
    <row r="776" spans="1:28" ht="1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row>
    <row r="777" spans="1:28" ht="1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row>
    <row r="778" spans="1:28" ht="1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row>
    <row r="779" spans="1:28" ht="1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row>
    <row r="780" spans="1:28" ht="1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row>
    <row r="781" spans="1:28" ht="1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row>
    <row r="782" spans="1:28" ht="1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row>
    <row r="783" spans="1:28" ht="1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row>
    <row r="784" spans="1:28" ht="1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row>
    <row r="785" spans="1:28" ht="1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row>
    <row r="786" spans="1:28" ht="1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row>
    <row r="787" spans="1:28" ht="1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row>
    <row r="788" spans="1:28" ht="1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row>
    <row r="789" spans="1:28" ht="1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row>
    <row r="790" spans="1:28" ht="1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row>
    <row r="791" spans="1:28" ht="1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row>
    <row r="792" spans="1:28" ht="1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row>
    <row r="793" spans="1:28" ht="1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row>
    <row r="794" spans="1:28" ht="1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row>
    <row r="795" spans="1:28" ht="1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row>
    <row r="796" spans="1:28" ht="1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row>
    <row r="797" spans="1:28" ht="1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row>
    <row r="798" spans="1:28" ht="1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row>
    <row r="799" spans="1:28" ht="1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row>
    <row r="800" spans="1:28" ht="1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row>
    <row r="801" spans="1:28" ht="1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row>
    <row r="802" spans="1:28" ht="1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row>
    <row r="803" spans="1:28" ht="1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row>
    <row r="804" spans="1:28" ht="1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row>
    <row r="805" spans="1:28" ht="1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row>
    <row r="806" spans="1:28" ht="1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row>
    <row r="807" spans="1:28" ht="1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row>
    <row r="808" spans="1:28" ht="1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row>
    <row r="809" spans="1:28" ht="1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row>
    <row r="810" spans="1:28" ht="1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row>
    <row r="811" spans="1:28" ht="1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row>
    <row r="812" spans="1:28" ht="1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row>
    <row r="813" spans="1:28" ht="1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row>
    <row r="814" spans="1:28" ht="1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row>
    <row r="815" spans="1:28" ht="1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row>
    <row r="816" spans="1:28" ht="1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row>
    <row r="817" spans="1:28" ht="1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row>
    <row r="818" spans="1:28" ht="1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row>
    <row r="819" spans="1:28" ht="1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row>
    <row r="820" spans="1:28" ht="1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row>
    <row r="821" spans="1:28" ht="1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row>
    <row r="822" spans="1:28" ht="1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row>
    <row r="823" spans="1:28" ht="1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row>
    <row r="824" spans="1:28" ht="1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row>
    <row r="825" spans="1:28" ht="1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row>
    <row r="826" spans="1:28" ht="1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row>
    <row r="827" spans="1:28" ht="1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row>
    <row r="828" spans="1:28" ht="1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row>
    <row r="829" spans="1:28" ht="1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row>
    <row r="830" spans="1:28" ht="1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row>
    <row r="831" spans="1:28" ht="1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row>
    <row r="832" spans="1:28" ht="1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row>
    <row r="833" spans="1:28" ht="1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row>
    <row r="834" spans="1:28" ht="1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row>
    <row r="835" spans="1:28" ht="1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row>
    <row r="836" spans="1:28" ht="1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row>
    <row r="837" spans="1:28" ht="1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row>
    <row r="838" spans="1:28" ht="1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row>
    <row r="839" spans="1:28" ht="1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row>
    <row r="840" spans="1:28" ht="1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row>
    <row r="841" spans="1:28" ht="1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row>
    <row r="842" spans="1:28" ht="1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row>
    <row r="843" spans="1:28" ht="1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row>
    <row r="844" spans="1:28" ht="1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row>
    <row r="845" spans="1:28" ht="1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row>
    <row r="846" spans="1:28" ht="1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row>
    <row r="847" spans="1:28" ht="1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row>
    <row r="848" spans="1:28" ht="1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row>
    <row r="849" spans="1:28" ht="1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row>
    <row r="850" spans="1:28" ht="1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row>
    <row r="851" spans="1:28" ht="1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row>
    <row r="852" spans="1:28" ht="1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row>
    <row r="853" spans="1:28" ht="1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row>
    <row r="854" spans="1:28" ht="1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row>
    <row r="855" spans="1:28" ht="1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row>
    <row r="856" spans="1:28" ht="1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row>
    <row r="857" spans="1:28" ht="1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row>
    <row r="858" spans="1:28" ht="1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row>
    <row r="859" spans="1:28" ht="1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row>
    <row r="860" spans="1:28" ht="1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row>
    <row r="861" spans="1:28" ht="1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row>
    <row r="862" spans="1:28" ht="1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row>
    <row r="863" spans="1:28" ht="1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row>
    <row r="864" spans="1:28" ht="1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row>
    <row r="865" spans="1:28" ht="1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row>
    <row r="866" spans="1:28" ht="1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row>
    <row r="867" spans="1:28" ht="1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row>
    <row r="868" spans="1:28" ht="1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row>
    <row r="869" spans="1:28" ht="1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row>
    <row r="870" spans="1:28" ht="1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row>
    <row r="871" spans="1:28" ht="1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row>
    <row r="872" spans="1:28" ht="1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row>
    <row r="873" spans="1:28" ht="1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row>
    <row r="874" spans="1:28" ht="1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row>
    <row r="875" spans="1:28" ht="1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row>
    <row r="876" spans="1:28" ht="1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row>
    <row r="877" spans="1:28" ht="1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row>
    <row r="878" spans="1:28" ht="1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row>
    <row r="879" spans="1:28" ht="1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row>
    <row r="880" spans="1:28" ht="1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row>
    <row r="881" spans="1:28" ht="1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row>
    <row r="882" spans="1:28" ht="1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row>
    <row r="883" spans="1:28" ht="1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row>
    <row r="884" spans="1:28" ht="1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row>
    <row r="885" spans="1:28" ht="1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row>
    <row r="886" spans="1:28" ht="1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row>
    <row r="887" spans="1:28" ht="1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row>
    <row r="888" spans="1:28" ht="1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row>
    <row r="889" spans="1:28" ht="1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row>
    <row r="890" spans="1:28" ht="1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row>
    <row r="891" spans="1:28" ht="1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row>
    <row r="892" spans="1:28" ht="1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row>
    <row r="893" spans="1:28" ht="1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row>
    <row r="894" spans="1:28" ht="1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row>
    <row r="895" spans="1:28" ht="1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row>
    <row r="896" spans="1:28" ht="1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row>
    <row r="897" spans="1:28" ht="1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row>
    <row r="898" spans="1:28" ht="1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row>
    <row r="899" spans="1:28" ht="1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row>
    <row r="900" spans="1:28" ht="1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row>
    <row r="901" spans="1:28" ht="1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row>
    <row r="902" spans="1:28" ht="1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row>
    <row r="903" spans="1:28" ht="1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row>
    <row r="904" spans="1:28" ht="1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row>
    <row r="905" spans="1:28" ht="1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row>
    <row r="906" spans="1:28" ht="1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row>
    <row r="907" spans="1:28" ht="1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row>
    <row r="908" spans="1:28" ht="1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row>
    <row r="909" spans="1:28" ht="1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row>
    <row r="910" spans="1:28" ht="1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row>
    <row r="911" spans="1:28" ht="1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row>
    <row r="912" spans="1:28" ht="1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row>
    <row r="913" spans="1:28" ht="1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row>
    <row r="914" spans="1:28" ht="1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row>
    <row r="915" spans="1:28" ht="1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row>
    <row r="916" spans="1:28" ht="1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row>
    <row r="917" spans="1:28" ht="1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row>
    <row r="918" spans="1:28" ht="1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row>
    <row r="919" spans="1:28" ht="1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row>
    <row r="920" spans="1:28" ht="1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row>
    <row r="921" spans="1:28" ht="1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row>
    <row r="922" spans="1:28" ht="1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row>
    <row r="923" spans="1:28" ht="1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row>
    <row r="924" spans="1:28" ht="1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row>
    <row r="925" spans="1:28" ht="1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row>
    <row r="926" spans="1:28" ht="1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row>
    <row r="927" spans="1:28" ht="1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row>
    <row r="928" spans="1:28" ht="1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row>
    <row r="929" spans="1:28" ht="1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row>
    <row r="930" spans="1:28" ht="1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row>
    <row r="931" spans="1:28" ht="1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row>
    <row r="932" spans="1:28" ht="1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row>
    <row r="933" spans="1:28" ht="1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row>
    <row r="934" spans="1:28" ht="1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row>
    <row r="935" spans="1:28" ht="1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row>
    <row r="936" spans="1:28" ht="1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row>
    <row r="937" spans="1:28" ht="1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row>
    <row r="938" spans="1:28" ht="1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row>
    <row r="939" spans="1:28" ht="1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row>
    <row r="940" spans="1:28" ht="1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row>
    <row r="941" spans="1:28" ht="1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row>
    <row r="942" spans="1:28" ht="1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row>
    <row r="943" spans="1:28" ht="1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row>
    <row r="944" spans="1:28" ht="1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row>
    <row r="945" spans="1:28" ht="1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row>
    <row r="946" spans="1:28" ht="1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row>
    <row r="947" spans="1:28" ht="1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row>
    <row r="948" spans="1:28" ht="1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row>
    <row r="949" spans="1:28" ht="1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row>
    <row r="950" spans="1:28" ht="1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row>
    <row r="951" spans="1:28" ht="1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row>
    <row r="952" spans="1:28" ht="1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row>
    <row r="953" spans="1:28" ht="1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row>
    <row r="954" spans="1:28" ht="1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row>
    <row r="955" spans="1:28" ht="1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row>
    <row r="956" spans="1:28" ht="1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row>
    <row r="957" spans="1:28" ht="1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row>
    <row r="958" spans="1:28" ht="1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row>
    <row r="959" spans="1:28" ht="1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row>
    <row r="960" spans="1:28" ht="1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row>
    <row r="961" spans="1:28" ht="1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row>
    <row r="962" spans="1:28" ht="1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row>
    <row r="963" spans="1:28" ht="1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row>
    <row r="964" spans="1:28" ht="1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row>
    <row r="965" spans="1:28" ht="1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row>
    <row r="966" spans="1:28" ht="1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row>
    <row r="967" spans="1:28" ht="1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row>
    <row r="968" spans="1:28" ht="1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row>
    <row r="969" spans="1:28" ht="1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row>
    <row r="970" spans="1:28" ht="1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row>
    <row r="971" spans="1:28" ht="1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row>
    <row r="972" spans="1:28" ht="1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row>
    <row r="973" spans="1:28" ht="1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row>
    <row r="974" spans="1:28" ht="1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row>
    <row r="975" spans="1:28" ht="1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row>
    <row r="976" spans="1:28" ht="1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row>
    <row r="977" spans="1:28" ht="1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row>
    <row r="978" spans="1:28" ht="1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row>
    <row r="979" spans="1:28" ht="1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row>
    <row r="980" spans="1:28" ht="1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row>
    <row r="981" spans="1:28" ht="1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row>
    <row r="982" spans="1:28" ht="1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row>
    <row r="983" spans="1:28" ht="1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row>
    <row r="984" spans="1:28" ht="1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row>
    <row r="985" spans="1:28" ht="1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row>
    <row r="986" spans="1:28" ht="1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row>
    <row r="987" spans="1:28" ht="1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row>
    <row r="988" spans="1:28" ht="1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row>
    <row r="989" spans="1:28" ht="1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row>
    <row r="990" spans="1:28" ht="1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row>
    <row r="991" spans="1:28" ht="1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row>
    <row r="992" spans="1:28" ht="1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row>
    <row r="993" spans="1:28" ht="1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row>
    <row r="994" spans="1:28" ht="1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row>
    <row r="995" spans="1:28" ht="1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row>
    <row r="996" spans="1:28" ht="1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row>
  </sheetData>
  <sheetProtection password="DE31" sheet="1" objects="1" scenarios="1" selectLockedCells="1"/>
  <sortState ref="K7:U136">
    <sortCondition ref="U7:U136"/>
    <sortCondition ref="M7:M136"/>
  </sortState>
  <dataConsolidate/>
  <mergeCells count="11">
    <mergeCell ref="C3:E3"/>
    <mergeCell ref="C4:E4"/>
    <mergeCell ref="C5:E5"/>
    <mergeCell ref="C6:E6"/>
    <mergeCell ref="B11:E11"/>
    <mergeCell ref="C7:E7"/>
    <mergeCell ref="B21:E21"/>
    <mergeCell ref="B25:E25"/>
    <mergeCell ref="B30:E30"/>
    <mergeCell ref="B9:E9"/>
    <mergeCell ref="B10:E10"/>
  </mergeCells>
  <phoneticPr fontId="39" type="noConversion"/>
  <dataValidations count="1">
    <dataValidation type="list" allowBlank="1" showInputMessage="1" showErrorMessage="1" prompt="Molimo odabrati proračunskog korisnika iz padajućeg izbornika!" sqref="C3:E3">
      <formula1>$L$6:$L$136</formula1>
    </dataValidation>
  </dataValidations>
  <pageMargins left="0.7" right="0.7" top="0.75" bottom="0.75" header="0.3" footer="0.3"/>
  <pageSetup paperSize="9" scale="8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3"/>
  <sheetViews>
    <sheetView workbookViewId="0">
      <selection activeCell="B18" sqref="B18"/>
    </sheetView>
  </sheetViews>
  <sheetFormatPr defaultRowHeight="15"/>
  <cols>
    <col min="1" max="1" width="11.28515625" bestFit="1" customWidth="1"/>
    <col min="2" max="2" width="91.140625" customWidth="1"/>
    <col min="3" max="3" width="20.42578125" style="268" bestFit="1" customWidth="1"/>
    <col min="4" max="4" width="23.7109375" style="269" customWidth="1"/>
    <col min="5" max="5" width="12" style="268" customWidth="1"/>
    <col min="6" max="6" width="11.7109375" style="265" customWidth="1"/>
  </cols>
  <sheetData>
    <row r="1" spans="1:6" ht="20.25" thickBot="1">
      <c r="A1" s="250" t="s">
        <v>761</v>
      </c>
      <c r="B1" s="250" t="s">
        <v>203</v>
      </c>
      <c r="C1" s="251" t="s">
        <v>2319</v>
      </c>
      <c r="D1" s="250"/>
      <c r="E1" s="251"/>
      <c r="F1" s="252" t="s">
        <v>2330</v>
      </c>
    </row>
    <row r="2" spans="1:6" ht="15.75" thickTop="1">
      <c r="A2" s="254" t="s">
        <v>776</v>
      </c>
      <c r="B2" s="255" t="s">
        <v>260</v>
      </c>
      <c r="C2" s="256">
        <v>11</v>
      </c>
      <c r="D2" s="253" t="s">
        <v>53</v>
      </c>
      <c r="E2" s="256">
        <v>671</v>
      </c>
      <c r="F2" s="254" t="s">
        <v>2320</v>
      </c>
    </row>
    <row r="3" spans="1:6">
      <c r="A3" s="254" t="s">
        <v>777</v>
      </c>
      <c r="B3" s="255" t="s">
        <v>260</v>
      </c>
      <c r="C3" s="256">
        <v>12</v>
      </c>
      <c r="D3" s="253" t="s">
        <v>263</v>
      </c>
      <c r="E3" s="256">
        <v>671</v>
      </c>
      <c r="F3" s="254" t="s">
        <v>2321</v>
      </c>
    </row>
    <row r="4" spans="1:6">
      <c r="A4" s="254">
        <v>614810041</v>
      </c>
      <c r="B4" s="255" t="s">
        <v>1541</v>
      </c>
      <c r="C4" s="256">
        <v>41</v>
      </c>
      <c r="D4" s="253" t="s">
        <v>1537</v>
      </c>
      <c r="E4" s="256">
        <v>614</v>
      </c>
      <c r="F4" s="254">
        <v>614810041</v>
      </c>
    </row>
    <row r="5" spans="1:6">
      <c r="A5" s="254">
        <v>614820041</v>
      </c>
      <c r="B5" s="255" t="s">
        <v>1542</v>
      </c>
      <c r="C5" s="256">
        <v>41</v>
      </c>
      <c r="D5" s="253" t="s">
        <v>1537</v>
      </c>
      <c r="E5" s="256">
        <v>614</v>
      </c>
      <c r="F5" s="254">
        <v>614820041</v>
      </c>
    </row>
    <row r="6" spans="1:6">
      <c r="A6" s="254">
        <v>614830041</v>
      </c>
      <c r="B6" s="255" t="s">
        <v>1543</v>
      </c>
      <c r="C6" s="256">
        <v>41</v>
      </c>
      <c r="D6" s="253" t="s">
        <v>1537</v>
      </c>
      <c r="E6" s="256">
        <v>614</v>
      </c>
      <c r="F6" s="254">
        <v>614830041</v>
      </c>
    </row>
    <row r="7" spans="1:6">
      <c r="A7" s="254">
        <v>614840041</v>
      </c>
      <c r="B7" s="255" t="s">
        <v>1544</v>
      </c>
      <c r="C7" s="256">
        <v>41</v>
      </c>
      <c r="D7" s="253" t="s">
        <v>1537</v>
      </c>
      <c r="E7" s="256">
        <v>614</v>
      </c>
      <c r="F7" s="254">
        <v>614840041</v>
      </c>
    </row>
    <row r="8" spans="1:6">
      <c r="A8" s="255">
        <v>631110000</v>
      </c>
      <c r="B8" s="255" t="s">
        <v>25</v>
      </c>
      <c r="C8" s="257">
        <v>52</v>
      </c>
      <c r="D8" s="258" t="s">
        <v>2088</v>
      </c>
      <c r="E8" s="257">
        <v>631</v>
      </c>
      <c r="F8" s="255">
        <v>631110000</v>
      </c>
    </row>
    <row r="9" spans="1:6">
      <c r="A9" s="255">
        <v>631120000</v>
      </c>
      <c r="B9" s="255" t="s">
        <v>26</v>
      </c>
      <c r="C9" s="257">
        <v>52</v>
      </c>
      <c r="D9" s="258" t="s">
        <v>2088</v>
      </c>
      <c r="E9" s="257">
        <v>631</v>
      </c>
      <c r="F9" s="255">
        <v>631120000</v>
      </c>
    </row>
    <row r="10" spans="1:6">
      <c r="A10" s="255">
        <v>631210000</v>
      </c>
      <c r="B10" s="255" t="s">
        <v>27</v>
      </c>
      <c r="C10" s="257">
        <v>52</v>
      </c>
      <c r="D10" s="258" t="s">
        <v>2088</v>
      </c>
      <c r="E10" s="257">
        <v>631</v>
      </c>
      <c r="F10" s="271">
        <v>631210000</v>
      </c>
    </row>
    <row r="11" spans="1:6">
      <c r="A11" s="255">
        <v>631220000</v>
      </c>
      <c r="B11" s="255" t="s">
        <v>28</v>
      </c>
      <c r="C11" s="257">
        <v>52</v>
      </c>
      <c r="D11" s="258" t="s">
        <v>2088</v>
      </c>
      <c r="E11" s="257">
        <v>631</v>
      </c>
      <c r="F11" s="271">
        <v>631220000</v>
      </c>
    </row>
    <row r="12" spans="1:6" s="278" customFormat="1">
      <c r="A12" s="255">
        <v>632112000</v>
      </c>
      <c r="B12" s="255" t="s">
        <v>2089</v>
      </c>
      <c r="C12" s="257">
        <v>52</v>
      </c>
      <c r="D12" s="258" t="s">
        <v>2088</v>
      </c>
      <c r="E12" s="257">
        <v>632</v>
      </c>
      <c r="F12" s="271">
        <v>632112000</v>
      </c>
    </row>
    <row r="13" spans="1:6" s="278" customFormat="1">
      <c r="A13" s="255">
        <v>632212000</v>
      </c>
      <c r="B13" s="255" t="s">
        <v>2090</v>
      </c>
      <c r="C13" s="257">
        <v>52</v>
      </c>
      <c r="D13" s="258" t="s">
        <v>2088</v>
      </c>
      <c r="E13" s="257">
        <v>632</v>
      </c>
      <c r="F13" s="271">
        <v>632212000</v>
      </c>
    </row>
    <row r="14" spans="1:6" s="278" customFormat="1">
      <c r="A14" s="254">
        <v>632310552</v>
      </c>
      <c r="B14" s="255" t="s">
        <v>1546</v>
      </c>
      <c r="C14" s="256">
        <v>552</v>
      </c>
      <c r="D14" s="259" t="s">
        <v>1538</v>
      </c>
      <c r="E14" s="256">
        <v>632</v>
      </c>
      <c r="F14" s="254">
        <v>632310552</v>
      </c>
    </row>
    <row r="15" spans="1:6" s="278" customFormat="1">
      <c r="A15" s="254">
        <v>632310559</v>
      </c>
      <c r="B15" s="255" t="s">
        <v>1547</v>
      </c>
      <c r="C15" s="256">
        <v>559</v>
      </c>
      <c r="D15" s="259" t="s">
        <v>1539</v>
      </c>
      <c r="E15" s="256">
        <v>632</v>
      </c>
      <c r="F15" s="254">
        <v>632310559</v>
      </c>
    </row>
    <row r="16" spans="1:6" s="278" customFormat="1">
      <c r="A16" s="254">
        <v>632310561</v>
      </c>
      <c r="B16" s="255" t="s">
        <v>2332</v>
      </c>
      <c r="C16" s="256">
        <v>561</v>
      </c>
      <c r="D16" s="259" t="s">
        <v>118</v>
      </c>
      <c r="E16" s="256">
        <v>561</v>
      </c>
      <c r="F16" s="254">
        <v>632310561</v>
      </c>
    </row>
    <row r="17" spans="1:6" s="278" customFormat="1">
      <c r="A17" s="254">
        <v>632310563</v>
      </c>
      <c r="B17" s="255" t="s">
        <v>2333</v>
      </c>
      <c r="C17" s="256">
        <v>563</v>
      </c>
      <c r="D17" s="259" t="s">
        <v>2331</v>
      </c>
      <c r="E17" s="256">
        <v>563</v>
      </c>
      <c r="F17" s="254">
        <v>632310563</v>
      </c>
    </row>
    <row r="18" spans="1:6" s="278" customFormat="1">
      <c r="A18" s="254">
        <v>632310573</v>
      </c>
      <c r="B18" s="255" t="s">
        <v>1548</v>
      </c>
      <c r="C18" s="256">
        <v>573</v>
      </c>
      <c r="D18" s="259" t="s">
        <v>1549</v>
      </c>
      <c r="E18" s="256">
        <v>632</v>
      </c>
      <c r="F18" s="254">
        <v>632310573</v>
      </c>
    </row>
    <row r="19" spans="1:6" s="278" customFormat="1">
      <c r="A19" s="254">
        <v>632310575</v>
      </c>
      <c r="B19" s="255" t="s">
        <v>1550</v>
      </c>
      <c r="C19" s="256">
        <v>575</v>
      </c>
      <c r="D19" s="259" t="s">
        <v>1551</v>
      </c>
      <c r="E19" s="256">
        <v>632</v>
      </c>
      <c r="F19" s="254">
        <v>632310575</v>
      </c>
    </row>
    <row r="20" spans="1:6" s="278" customFormat="1">
      <c r="A20" s="254">
        <v>632310576</v>
      </c>
      <c r="B20" s="255" t="s">
        <v>2127</v>
      </c>
      <c r="C20" s="256">
        <v>576</v>
      </c>
      <c r="D20" s="259" t="s">
        <v>2128</v>
      </c>
      <c r="E20" s="256">
        <v>632</v>
      </c>
      <c r="F20" s="254">
        <v>632310576</v>
      </c>
    </row>
    <row r="21" spans="1:6" s="278" customFormat="1">
      <c r="A21" s="255">
        <v>632311700</v>
      </c>
      <c r="B21" s="255" t="s">
        <v>23</v>
      </c>
      <c r="C21" s="257">
        <v>51</v>
      </c>
      <c r="D21" s="258" t="s">
        <v>2091</v>
      </c>
      <c r="E21" s="257">
        <v>632</v>
      </c>
      <c r="F21" s="271">
        <v>632311700</v>
      </c>
    </row>
    <row r="22" spans="1:6" s="278" customFormat="1">
      <c r="A22" s="255">
        <v>632311800</v>
      </c>
      <c r="B22" s="255" t="s">
        <v>247</v>
      </c>
      <c r="C22" s="257">
        <v>51</v>
      </c>
      <c r="D22" s="258" t="s">
        <v>2091</v>
      </c>
      <c r="E22" s="257">
        <v>632</v>
      </c>
      <c r="F22" s="271">
        <v>632311800</v>
      </c>
    </row>
    <row r="23" spans="1:6" s="278" customFormat="1">
      <c r="A23" s="254">
        <v>632410552</v>
      </c>
      <c r="B23" s="255" t="s">
        <v>1552</v>
      </c>
      <c r="C23" s="256">
        <v>552</v>
      </c>
      <c r="D23" s="259" t="s">
        <v>1538</v>
      </c>
      <c r="E23" s="256">
        <v>632</v>
      </c>
      <c r="F23" s="254">
        <v>632410552</v>
      </c>
    </row>
    <row r="24" spans="1:6" s="278" customFormat="1">
      <c r="A24" s="254">
        <v>632410559</v>
      </c>
      <c r="B24" s="255" t="s">
        <v>1553</v>
      </c>
      <c r="C24" s="256">
        <v>559</v>
      </c>
      <c r="D24" s="259" t="s">
        <v>1539</v>
      </c>
      <c r="E24" s="256">
        <v>632</v>
      </c>
      <c r="F24" s="254">
        <v>632410559</v>
      </c>
    </row>
    <row r="25" spans="1:6" s="278" customFormat="1">
      <c r="A25" s="254">
        <v>632410561</v>
      </c>
      <c r="B25" s="255" t="s">
        <v>2334</v>
      </c>
      <c r="C25" s="256">
        <v>561</v>
      </c>
      <c r="D25" s="259" t="s">
        <v>118</v>
      </c>
      <c r="E25" s="256">
        <v>561</v>
      </c>
      <c r="F25" s="254">
        <v>632410561</v>
      </c>
    </row>
    <row r="26" spans="1:6" s="278" customFormat="1">
      <c r="A26" s="254">
        <v>632410563</v>
      </c>
      <c r="B26" s="255" t="s">
        <v>2335</v>
      </c>
      <c r="C26" s="256">
        <v>563</v>
      </c>
      <c r="D26" s="259" t="s">
        <v>2331</v>
      </c>
      <c r="E26" s="256">
        <v>563</v>
      </c>
      <c r="F26" s="254">
        <v>632410563</v>
      </c>
    </row>
    <row r="27" spans="1:6" s="278" customFormat="1">
      <c r="A27" s="254">
        <v>632410573</v>
      </c>
      <c r="B27" s="255" t="s">
        <v>1554</v>
      </c>
      <c r="C27" s="256">
        <v>573</v>
      </c>
      <c r="D27" s="259" t="s">
        <v>1549</v>
      </c>
      <c r="E27" s="256">
        <v>632</v>
      </c>
      <c r="F27" s="254">
        <v>632410573</v>
      </c>
    </row>
    <row r="28" spans="1:6" s="278" customFormat="1">
      <c r="A28" s="254">
        <v>632410575</v>
      </c>
      <c r="B28" s="255" t="s">
        <v>1555</v>
      </c>
      <c r="C28" s="256">
        <v>575</v>
      </c>
      <c r="D28" s="259" t="s">
        <v>1551</v>
      </c>
      <c r="E28" s="256">
        <v>632</v>
      </c>
      <c r="F28" s="254">
        <v>632410575</v>
      </c>
    </row>
    <row r="29" spans="1:6" s="278" customFormat="1">
      <c r="A29" s="254">
        <v>632410576</v>
      </c>
      <c r="B29" s="255" t="s">
        <v>2129</v>
      </c>
      <c r="C29" s="256">
        <v>576</v>
      </c>
      <c r="D29" s="259" t="s">
        <v>2128</v>
      </c>
      <c r="E29" s="256">
        <v>632</v>
      </c>
      <c r="F29" s="254">
        <v>632410576</v>
      </c>
    </row>
    <row r="30" spans="1:6" s="278" customFormat="1">
      <c r="A30" s="255">
        <v>632411700</v>
      </c>
      <c r="B30" s="255" t="s">
        <v>24</v>
      </c>
      <c r="C30" s="260">
        <v>51</v>
      </c>
      <c r="D30" s="261" t="s">
        <v>2091</v>
      </c>
      <c r="E30" s="260">
        <v>632</v>
      </c>
      <c r="F30" s="271">
        <v>632411700</v>
      </c>
    </row>
    <row r="31" spans="1:6">
      <c r="A31" s="255">
        <v>634140000</v>
      </c>
      <c r="B31" s="255" t="s">
        <v>2322</v>
      </c>
      <c r="C31" s="260">
        <v>52</v>
      </c>
      <c r="D31" s="261" t="s">
        <v>2088</v>
      </c>
      <c r="E31" s="260">
        <v>634</v>
      </c>
      <c r="F31" s="271">
        <v>6341</v>
      </c>
    </row>
    <row r="32" spans="1:6">
      <c r="A32" s="255">
        <v>634150000</v>
      </c>
      <c r="B32" s="255" t="s">
        <v>2323</v>
      </c>
      <c r="C32" s="260">
        <v>52</v>
      </c>
      <c r="D32" s="261" t="s">
        <v>2088</v>
      </c>
      <c r="E32" s="260">
        <v>634</v>
      </c>
      <c r="F32" s="271">
        <v>6341</v>
      </c>
    </row>
    <row r="33" spans="1:6">
      <c r="A33" s="255">
        <v>634160000</v>
      </c>
      <c r="B33" s="255" t="s">
        <v>2324</v>
      </c>
      <c r="C33" s="260">
        <v>52</v>
      </c>
      <c r="D33" s="261" t="s">
        <v>2088</v>
      </c>
      <c r="E33" s="260">
        <v>634</v>
      </c>
      <c r="F33" s="271">
        <v>6341</v>
      </c>
    </row>
    <row r="34" spans="1:6">
      <c r="A34" s="255">
        <v>634240000</v>
      </c>
      <c r="B34" s="255" t="s">
        <v>2325</v>
      </c>
      <c r="C34" s="260">
        <v>52</v>
      </c>
      <c r="D34" s="261" t="s">
        <v>2088</v>
      </c>
      <c r="E34" s="260">
        <v>634</v>
      </c>
      <c r="F34" s="271">
        <v>6342</v>
      </c>
    </row>
    <row r="35" spans="1:6">
      <c r="A35" s="255">
        <v>634250000</v>
      </c>
      <c r="B35" s="255" t="s">
        <v>2326</v>
      </c>
      <c r="C35" s="260">
        <v>52</v>
      </c>
      <c r="D35" s="261" t="s">
        <v>2088</v>
      </c>
      <c r="E35" s="260">
        <v>634</v>
      </c>
      <c r="F35" s="271">
        <v>6342</v>
      </c>
    </row>
    <row r="36" spans="1:6">
      <c r="A36" s="255">
        <v>634260000</v>
      </c>
      <c r="B36" s="255" t="s">
        <v>2327</v>
      </c>
      <c r="C36" s="260">
        <v>52</v>
      </c>
      <c r="D36" s="261" t="s">
        <v>2088</v>
      </c>
      <c r="E36" s="260">
        <v>634</v>
      </c>
      <c r="F36" s="271">
        <v>6342</v>
      </c>
    </row>
    <row r="37" spans="1:6">
      <c r="A37" s="255">
        <v>636130000</v>
      </c>
      <c r="B37" s="255" t="s">
        <v>2092</v>
      </c>
      <c r="C37" s="260">
        <v>52</v>
      </c>
      <c r="D37" s="261" t="s">
        <v>2088</v>
      </c>
      <c r="E37" s="260">
        <v>636</v>
      </c>
      <c r="F37" s="271">
        <v>6361</v>
      </c>
    </row>
    <row r="38" spans="1:6">
      <c r="A38" s="255">
        <v>636230000</v>
      </c>
      <c r="B38" s="255" t="s">
        <v>2093</v>
      </c>
      <c r="C38" s="260">
        <v>52</v>
      </c>
      <c r="D38" s="261" t="s">
        <v>2088</v>
      </c>
      <c r="E38" s="260">
        <v>636</v>
      </c>
      <c r="F38" s="271">
        <v>6362</v>
      </c>
    </row>
    <row r="39" spans="1:6">
      <c r="A39" s="255">
        <v>638120000</v>
      </c>
      <c r="B39" s="255" t="s">
        <v>2094</v>
      </c>
      <c r="C39" s="260">
        <v>52</v>
      </c>
      <c r="D39" s="261" t="s">
        <v>2088</v>
      </c>
      <c r="E39" s="260">
        <v>638</v>
      </c>
      <c r="F39" s="271">
        <v>6381</v>
      </c>
    </row>
    <row r="40" spans="1:6">
      <c r="A40" s="255">
        <v>638130000</v>
      </c>
      <c r="B40" s="255" t="s">
        <v>2095</v>
      </c>
      <c r="C40" s="260">
        <v>52</v>
      </c>
      <c r="D40" s="261" t="s">
        <v>2088</v>
      </c>
      <c r="E40" s="260">
        <v>638</v>
      </c>
      <c r="F40" s="271">
        <v>6381</v>
      </c>
    </row>
    <row r="41" spans="1:6">
      <c r="A41" s="255">
        <v>638140000</v>
      </c>
      <c r="B41" s="255" t="s">
        <v>2096</v>
      </c>
      <c r="C41" s="260">
        <v>52</v>
      </c>
      <c r="D41" s="261" t="s">
        <v>2088</v>
      </c>
      <c r="E41" s="260">
        <v>638</v>
      </c>
      <c r="F41" s="271">
        <v>6381</v>
      </c>
    </row>
    <row r="42" spans="1:6">
      <c r="A42" s="255">
        <v>638220000</v>
      </c>
      <c r="B42" s="255" t="s">
        <v>2097</v>
      </c>
      <c r="C42" s="260">
        <v>52</v>
      </c>
      <c r="D42" s="261" t="s">
        <v>2088</v>
      </c>
      <c r="E42" s="260">
        <v>638</v>
      </c>
      <c r="F42" s="271">
        <v>6382</v>
      </c>
    </row>
    <row r="43" spans="1:6">
      <c r="A43" s="255">
        <v>638230000</v>
      </c>
      <c r="B43" s="255" t="s">
        <v>2098</v>
      </c>
      <c r="C43" s="260">
        <v>52</v>
      </c>
      <c r="D43" s="261" t="s">
        <v>2088</v>
      </c>
      <c r="E43" s="260">
        <v>638</v>
      </c>
      <c r="F43" s="271">
        <v>6382</v>
      </c>
    </row>
    <row r="44" spans="1:6">
      <c r="A44" s="255">
        <v>638240000</v>
      </c>
      <c r="B44" s="255" t="s">
        <v>2099</v>
      </c>
      <c r="C44" s="260">
        <v>52</v>
      </c>
      <c r="D44" s="261" t="s">
        <v>2088</v>
      </c>
      <c r="E44" s="260">
        <v>638</v>
      </c>
      <c r="F44" s="271">
        <v>6382</v>
      </c>
    </row>
    <row r="45" spans="1:6">
      <c r="A45" s="255">
        <v>639110000</v>
      </c>
      <c r="B45" s="255" t="s">
        <v>31</v>
      </c>
      <c r="C45" s="260">
        <v>52</v>
      </c>
      <c r="D45" s="261" t="s">
        <v>2088</v>
      </c>
      <c r="E45" s="260">
        <v>639</v>
      </c>
      <c r="F45" s="271">
        <v>6391</v>
      </c>
    </row>
    <row r="46" spans="1:6">
      <c r="A46" s="255">
        <v>639210000</v>
      </c>
      <c r="B46" s="255" t="s">
        <v>32</v>
      </c>
      <c r="C46" s="260">
        <v>52</v>
      </c>
      <c r="D46" s="261" t="s">
        <v>2088</v>
      </c>
      <c r="E46" s="260">
        <v>639</v>
      </c>
      <c r="F46" s="271">
        <v>6392</v>
      </c>
    </row>
    <row r="47" spans="1:6">
      <c r="A47" s="255">
        <v>639310000</v>
      </c>
      <c r="B47" s="255" t="s">
        <v>33</v>
      </c>
      <c r="C47" s="260">
        <v>52</v>
      </c>
      <c r="D47" s="261" t="s">
        <v>2088</v>
      </c>
      <c r="E47" s="260">
        <v>639</v>
      </c>
      <c r="F47" s="271">
        <v>6393</v>
      </c>
    </row>
    <row r="48" spans="1:6">
      <c r="A48" s="255">
        <v>639410000</v>
      </c>
      <c r="B48" s="255" t="s">
        <v>34</v>
      </c>
      <c r="C48" s="260">
        <v>52</v>
      </c>
      <c r="D48" s="261" t="s">
        <v>2088</v>
      </c>
      <c r="E48" s="260">
        <v>639</v>
      </c>
      <c r="F48" s="271">
        <v>6394</v>
      </c>
    </row>
    <row r="49" spans="1:6">
      <c r="A49" s="255">
        <v>641290031</v>
      </c>
      <c r="B49" s="255" t="s">
        <v>236</v>
      </c>
      <c r="C49" s="260">
        <v>31</v>
      </c>
      <c r="D49" s="261" t="s">
        <v>98</v>
      </c>
      <c r="E49" s="260">
        <v>641</v>
      </c>
      <c r="F49" s="254">
        <v>641290031</v>
      </c>
    </row>
    <row r="50" spans="1:6">
      <c r="A50" s="255">
        <v>641310031</v>
      </c>
      <c r="B50" s="255" t="s">
        <v>237</v>
      </c>
      <c r="C50" s="260">
        <v>31</v>
      </c>
      <c r="D50" s="261" t="s">
        <v>98</v>
      </c>
      <c r="E50" s="260">
        <v>641</v>
      </c>
      <c r="F50" s="254">
        <v>641310031</v>
      </c>
    </row>
    <row r="51" spans="1:6">
      <c r="A51" s="255">
        <v>641320031</v>
      </c>
      <c r="B51" s="255" t="s">
        <v>238</v>
      </c>
      <c r="C51" s="260">
        <v>31</v>
      </c>
      <c r="D51" s="261" t="s">
        <v>98</v>
      </c>
      <c r="E51" s="260">
        <v>641</v>
      </c>
      <c r="F51" s="272">
        <v>641320031</v>
      </c>
    </row>
    <row r="52" spans="1:6">
      <c r="A52" s="255">
        <v>641320043</v>
      </c>
      <c r="B52" s="255" t="s">
        <v>2100</v>
      </c>
      <c r="C52" s="260">
        <v>43</v>
      </c>
      <c r="D52" s="261" t="s">
        <v>103</v>
      </c>
      <c r="E52" s="260">
        <v>641</v>
      </c>
      <c r="F52" s="272">
        <v>641320043</v>
      </c>
    </row>
    <row r="53" spans="1:6">
      <c r="A53" s="255">
        <v>641510031</v>
      </c>
      <c r="B53" s="255" t="s">
        <v>2101</v>
      </c>
      <c r="C53" s="262">
        <v>31</v>
      </c>
      <c r="D53" s="263" t="s">
        <v>98</v>
      </c>
      <c r="E53" s="262">
        <v>641</v>
      </c>
      <c r="F53" s="254">
        <v>641510031</v>
      </c>
    </row>
    <row r="54" spans="1:6">
      <c r="A54" s="255">
        <v>641510043</v>
      </c>
      <c r="B54" s="255" t="s">
        <v>2102</v>
      </c>
      <c r="C54" s="262">
        <v>43</v>
      </c>
      <c r="D54" s="263" t="s">
        <v>103</v>
      </c>
      <c r="E54" s="262">
        <v>641</v>
      </c>
      <c r="F54" s="254">
        <v>641510043</v>
      </c>
    </row>
    <row r="55" spans="1:6">
      <c r="A55" s="255">
        <v>641630031</v>
      </c>
      <c r="B55" s="255" t="s">
        <v>239</v>
      </c>
      <c r="C55" s="262">
        <v>31</v>
      </c>
      <c r="D55" s="263" t="s">
        <v>98</v>
      </c>
      <c r="E55" s="262">
        <v>641</v>
      </c>
      <c r="F55" s="254">
        <v>641630031</v>
      </c>
    </row>
    <row r="56" spans="1:6">
      <c r="A56" s="255">
        <v>641720043</v>
      </c>
      <c r="B56" s="255" t="s">
        <v>242</v>
      </c>
      <c r="C56" s="262">
        <v>43</v>
      </c>
      <c r="D56" s="263" t="s">
        <v>103</v>
      </c>
      <c r="E56" s="262">
        <v>641</v>
      </c>
      <c r="F56" s="254">
        <v>641720043</v>
      </c>
    </row>
    <row r="57" spans="1:6">
      <c r="A57" s="254">
        <v>641770041</v>
      </c>
      <c r="B57" s="264" t="s">
        <v>1545</v>
      </c>
      <c r="C57" s="256">
        <v>41</v>
      </c>
      <c r="D57" s="259" t="s">
        <v>1537</v>
      </c>
      <c r="E57" s="256">
        <v>641</v>
      </c>
      <c r="F57" s="254">
        <v>641770041</v>
      </c>
    </row>
    <row r="58" spans="1:6">
      <c r="A58" s="255">
        <v>641990043</v>
      </c>
      <c r="B58" s="255" t="s">
        <v>2103</v>
      </c>
      <c r="C58" s="262">
        <v>43</v>
      </c>
      <c r="D58" s="263" t="s">
        <v>103</v>
      </c>
      <c r="E58" s="262">
        <v>641</v>
      </c>
      <c r="F58" s="254">
        <v>641990043</v>
      </c>
    </row>
    <row r="59" spans="1:6">
      <c r="A59" s="255">
        <v>642510031</v>
      </c>
      <c r="B59" s="255" t="s">
        <v>240</v>
      </c>
      <c r="C59" s="262">
        <v>31</v>
      </c>
      <c r="D59" s="263" t="s">
        <v>98</v>
      </c>
      <c r="E59" s="262">
        <v>642</v>
      </c>
      <c r="F59" s="254">
        <v>642510031</v>
      </c>
    </row>
    <row r="60" spans="1:6">
      <c r="A60" s="255">
        <v>642990031</v>
      </c>
      <c r="B60" s="255" t="s">
        <v>241</v>
      </c>
      <c r="C60" s="262">
        <v>31</v>
      </c>
      <c r="D60" s="263" t="s">
        <v>98</v>
      </c>
      <c r="E60" s="262">
        <v>642</v>
      </c>
      <c r="F60" s="254">
        <v>642990031</v>
      </c>
    </row>
    <row r="61" spans="1:6">
      <c r="A61" s="255">
        <v>651480000</v>
      </c>
      <c r="B61" s="255" t="s">
        <v>22</v>
      </c>
      <c r="C61" s="262">
        <v>43</v>
      </c>
      <c r="D61" s="263" t="s">
        <v>103</v>
      </c>
      <c r="E61" s="262">
        <v>651</v>
      </c>
      <c r="F61" s="254">
        <v>65148</v>
      </c>
    </row>
    <row r="62" spans="1:6">
      <c r="A62" s="255">
        <v>652180000</v>
      </c>
      <c r="B62" s="255" t="s">
        <v>2104</v>
      </c>
      <c r="C62" s="262">
        <v>43</v>
      </c>
      <c r="D62" s="263" t="s">
        <v>103</v>
      </c>
      <c r="E62" s="262">
        <v>652</v>
      </c>
      <c r="F62" s="254">
        <v>65218</v>
      </c>
    </row>
    <row r="63" spans="1:6">
      <c r="A63" s="255">
        <v>652640000</v>
      </c>
      <c r="B63" s="255" t="s">
        <v>243</v>
      </c>
      <c r="C63" s="262">
        <v>43</v>
      </c>
      <c r="D63" s="263" t="s">
        <v>103</v>
      </c>
      <c r="E63" s="262">
        <v>625</v>
      </c>
      <c r="F63" s="272">
        <v>65264</v>
      </c>
    </row>
    <row r="64" spans="1:6">
      <c r="A64" s="255">
        <v>652670043</v>
      </c>
      <c r="B64" s="255" t="s">
        <v>244</v>
      </c>
      <c r="C64" s="262">
        <v>43</v>
      </c>
      <c r="D64" s="263" t="s">
        <v>103</v>
      </c>
      <c r="E64" s="262">
        <v>652</v>
      </c>
      <c r="F64" s="254">
        <v>652670043</v>
      </c>
    </row>
    <row r="65" spans="1:6">
      <c r="A65" s="255">
        <v>652680000</v>
      </c>
      <c r="B65" s="255" t="s">
        <v>2105</v>
      </c>
      <c r="C65" s="262">
        <v>43</v>
      </c>
      <c r="D65" s="263" t="s">
        <v>103</v>
      </c>
      <c r="E65" s="262">
        <v>652</v>
      </c>
      <c r="F65" s="254">
        <v>65268</v>
      </c>
    </row>
    <row r="66" spans="1:6">
      <c r="A66" s="255">
        <v>661410000</v>
      </c>
      <c r="B66" s="255" t="s">
        <v>2328</v>
      </c>
      <c r="C66" s="262">
        <v>31</v>
      </c>
      <c r="D66" s="263" t="s">
        <v>98</v>
      </c>
      <c r="E66" s="262">
        <v>661</v>
      </c>
      <c r="F66" s="254">
        <v>6614</v>
      </c>
    </row>
    <row r="67" spans="1:6">
      <c r="A67" s="255">
        <v>661420000</v>
      </c>
      <c r="B67" s="255" t="s">
        <v>2329</v>
      </c>
      <c r="C67" s="262">
        <v>31</v>
      </c>
      <c r="D67" s="263" t="s">
        <v>98</v>
      </c>
      <c r="E67" s="262">
        <v>661</v>
      </c>
      <c r="F67" s="254">
        <v>6614</v>
      </c>
    </row>
    <row r="68" spans="1:6">
      <c r="A68" s="255">
        <v>661510000</v>
      </c>
      <c r="B68" s="255" t="s">
        <v>21</v>
      </c>
      <c r="C68" s="262">
        <v>31</v>
      </c>
      <c r="D68" s="263" t="s">
        <v>98</v>
      </c>
      <c r="E68" s="262">
        <v>661</v>
      </c>
      <c r="F68" s="254">
        <v>6615</v>
      </c>
    </row>
    <row r="69" spans="1:6">
      <c r="A69" s="255">
        <v>663110000</v>
      </c>
      <c r="B69" s="255" t="s">
        <v>35</v>
      </c>
      <c r="C69" s="262">
        <v>61</v>
      </c>
      <c r="D69" s="263" t="s">
        <v>2106</v>
      </c>
      <c r="E69" s="262">
        <v>663</v>
      </c>
      <c r="F69" s="254">
        <v>663110000</v>
      </c>
    </row>
    <row r="70" spans="1:6">
      <c r="A70" s="255">
        <v>663120000</v>
      </c>
      <c r="B70" s="255" t="s">
        <v>36</v>
      </c>
      <c r="C70" s="262">
        <v>61</v>
      </c>
      <c r="D70" s="263" t="s">
        <v>2106</v>
      </c>
      <c r="E70" s="262">
        <v>663</v>
      </c>
      <c r="F70" s="254">
        <v>663120000</v>
      </c>
    </row>
    <row r="71" spans="1:6">
      <c r="A71" s="255">
        <v>663130000</v>
      </c>
      <c r="B71" s="255" t="s">
        <v>37</v>
      </c>
      <c r="C71" s="262">
        <v>61</v>
      </c>
      <c r="D71" s="263" t="s">
        <v>2106</v>
      </c>
      <c r="E71" s="262">
        <v>663</v>
      </c>
      <c r="F71" s="254">
        <v>663130000</v>
      </c>
    </row>
    <row r="72" spans="1:6">
      <c r="A72" s="255">
        <v>663140000</v>
      </c>
      <c r="B72" s="255" t="s">
        <v>2107</v>
      </c>
      <c r="C72" s="262">
        <v>61</v>
      </c>
      <c r="D72" s="263" t="s">
        <v>2106</v>
      </c>
      <c r="E72" s="262">
        <v>663</v>
      </c>
      <c r="F72" s="272">
        <v>663140000</v>
      </c>
    </row>
    <row r="73" spans="1:6">
      <c r="A73" s="255">
        <v>663210000</v>
      </c>
      <c r="B73" s="255" t="s">
        <v>2108</v>
      </c>
      <c r="C73" s="262">
        <v>61</v>
      </c>
      <c r="D73" s="263" t="s">
        <v>2106</v>
      </c>
      <c r="E73" s="262">
        <v>663</v>
      </c>
      <c r="F73" s="254">
        <v>663210000</v>
      </c>
    </row>
    <row r="74" spans="1:6">
      <c r="A74" s="255">
        <v>663220000</v>
      </c>
      <c r="B74" s="255" t="s">
        <v>38</v>
      </c>
      <c r="C74" s="262">
        <v>61</v>
      </c>
      <c r="D74" s="263" t="s">
        <v>2106</v>
      </c>
      <c r="E74" s="262">
        <v>663</v>
      </c>
      <c r="F74" s="254">
        <v>663220000</v>
      </c>
    </row>
    <row r="75" spans="1:6">
      <c r="A75" s="255">
        <v>663230000</v>
      </c>
      <c r="B75" s="255" t="s">
        <v>39</v>
      </c>
      <c r="C75" s="262">
        <v>61</v>
      </c>
      <c r="D75" s="263" t="s">
        <v>2106</v>
      </c>
      <c r="E75" s="262">
        <v>663</v>
      </c>
      <c r="F75" s="254">
        <v>663230000</v>
      </c>
    </row>
    <row r="76" spans="1:6">
      <c r="A76" s="255">
        <v>663240000</v>
      </c>
      <c r="B76" s="255" t="s">
        <v>2109</v>
      </c>
      <c r="C76" s="262">
        <v>61</v>
      </c>
      <c r="D76" s="263" t="s">
        <v>2106</v>
      </c>
      <c r="E76" s="262">
        <v>663</v>
      </c>
      <c r="F76" s="254">
        <v>663240000</v>
      </c>
    </row>
    <row r="77" spans="1:6">
      <c r="A77" s="255">
        <v>681910043</v>
      </c>
      <c r="B77" s="255" t="s">
        <v>245</v>
      </c>
      <c r="C77" s="262">
        <v>43</v>
      </c>
      <c r="D77" s="263" t="s">
        <v>103</v>
      </c>
      <c r="E77" s="262">
        <v>681</v>
      </c>
      <c r="F77" s="273">
        <v>681910043</v>
      </c>
    </row>
    <row r="78" spans="1:6">
      <c r="A78" s="255">
        <v>683110031</v>
      </c>
      <c r="B78" s="255" t="s">
        <v>2110</v>
      </c>
      <c r="C78" s="262">
        <v>31</v>
      </c>
      <c r="D78" s="263" t="s">
        <v>98</v>
      </c>
      <c r="E78" s="262">
        <v>683</v>
      </c>
      <c r="F78" s="273">
        <v>683110031</v>
      </c>
    </row>
    <row r="79" spans="1:6">
      <c r="A79" s="255">
        <v>683110043</v>
      </c>
      <c r="B79" s="255" t="s">
        <v>246</v>
      </c>
      <c r="C79" s="262">
        <v>43</v>
      </c>
      <c r="D79" s="263" t="s">
        <v>103</v>
      </c>
      <c r="E79" s="262">
        <v>683</v>
      </c>
      <c r="F79" s="274">
        <v>683110043</v>
      </c>
    </row>
    <row r="80" spans="1:6">
      <c r="A80" s="255">
        <v>711110071</v>
      </c>
      <c r="B80" s="255" t="s">
        <v>2111</v>
      </c>
      <c r="C80" s="262">
        <v>71</v>
      </c>
      <c r="D80" s="263" t="s">
        <v>2112</v>
      </c>
      <c r="E80" s="262">
        <v>711</v>
      </c>
      <c r="F80" s="275">
        <v>711110071</v>
      </c>
    </row>
    <row r="81" spans="1:6">
      <c r="A81" s="255">
        <v>711120071</v>
      </c>
      <c r="B81" s="255" t="s">
        <v>2113</v>
      </c>
      <c r="C81" s="262">
        <v>71</v>
      </c>
      <c r="D81" s="263" t="s">
        <v>2112</v>
      </c>
      <c r="E81" s="262">
        <v>711</v>
      </c>
      <c r="F81" s="275">
        <v>711120071</v>
      </c>
    </row>
    <row r="82" spans="1:6">
      <c r="A82" s="255">
        <v>712410071</v>
      </c>
      <c r="B82" s="255" t="s">
        <v>248</v>
      </c>
      <c r="C82" s="262">
        <v>71</v>
      </c>
      <c r="D82" s="263" t="s">
        <v>2112</v>
      </c>
      <c r="E82" s="262">
        <v>712</v>
      </c>
      <c r="F82" s="276">
        <v>712410071</v>
      </c>
    </row>
    <row r="83" spans="1:6">
      <c r="A83" s="255">
        <v>712490071</v>
      </c>
      <c r="B83" s="255" t="s">
        <v>249</v>
      </c>
      <c r="C83" s="262">
        <v>71</v>
      </c>
      <c r="D83" s="263" t="s">
        <v>2112</v>
      </c>
      <c r="E83" s="262">
        <v>712</v>
      </c>
      <c r="F83" s="276">
        <v>712490071</v>
      </c>
    </row>
    <row r="84" spans="1:6">
      <c r="A84" s="255">
        <v>721110071</v>
      </c>
      <c r="B84" s="255" t="s">
        <v>250</v>
      </c>
      <c r="C84" s="262">
        <v>71</v>
      </c>
      <c r="D84" s="263" t="s">
        <v>2112</v>
      </c>
      <c r="E84" s="262">
        <v>721</v>
      </c>
      <c r="F84" s="254">
        <v>721110071</v>
      </c>
    </row>
    <row r="85" spans="1:6">
      <c r="A85" s="255">
        <v>721190071</v>
      </c>
      <c r="B85" s="255" t="s">
        <v>251</v>
      </c>
      <c r="C85" s="262">
        <v>71</v>
      </c>
      <c r="D85" s="263" t="s">
        <v>2112</v>
      </c>
      <c r="E85" s="262">
        <v>721</v>
      </c>
      <c r="F85" s="272">
        <v>721190071</v>
      </c>
    </row>
    <row r="86" spans="1:6">
      <c r="A86" s="255">
        <v>721230071</v>
      </c>
      <c r="B86" s="255" t="s">
        <v>252</v>
      </c>
      <c r="C86" s="262">
        <v>71</v>
      </c>
      <c r="D86" s="263" t="s">
        <v>2112</v>
      </c>
      <c r="E86" s="262">
        <v>721</v>
      </c>
      <c r="F86" s="276">
        <v>721230071</v>
      </c>
    </row>
    <row r="87" spans="1:6">
      <c r="A87" s="255">
        <v>721290071</v>
      </c>
      <c r="B87" s="255" t="s">
        <v>253</v>
      </c>
      <c r="C87" s="262">
        <v>71</v>
      </c>
      <c r="D87" s="263" t="s">
        <v>2112</v>
      </c>
      <c r="E87" s="262">
        <v>721</v>
      </c>
      <c r="F87" s="276">
        <v>721290071</v>
      </c>
    </row>
    <row r="88" spans="1:6">
      <c r="A88" s="255">
        <v>722110071</v>
      </c>
      <c r="B88" s="255" t="s">
        <v>254</v>
      </c>
      <c r="C88" s="262">
        <v>71</v>
      </c>
      <c r="D88" s="263" t="s">
        <v>2112</v>
      </c>
      <c r="E88" s="262">
        <v>722</v>
      </c>
      <c r="F88" s="274">
        <v>722110071</v>
      </c>
    </row>
    <row r="89" spans="1:6">
      <c r="A89" s="255">
        <v>722120071</v>
      </c>
      <c r="B89" s="255" t="s">
        <v>2114</v>
      </c>
      <c r="C89" s="262">
        <v>71</v>
      </c>
      <c r="D89" s="263" t="s">
        <v>2112</v>
      </c>
      <c r="E89" s="262">
        <v>722</v>
      </c>
      <c r="F89" s="276">
        <v>722120071</v>
      </c>
    </row>
    <row r="90" spans="1:6">
      <c r="A90" s="255">
        <v>722190071</v>
      </c>
      <c r="B90" s="255" t="s">
        <v>255</v>
      </c>
      <c r="C90" s="262">
        <v>71</v>
      </c>
      <c r="D90" s="263" t="s">
        <v>2112</v>
      </c>
      <c r="E90" s="262">
        <v>722</v>
      </c>
      <c r="F90" s="276">
        <v>722190071</v>
      </c>
    </row>
    <row r="91" spans="1:6">
      <c r="A91" s="255">
        <v>722620071</v>
      </c>
      <c r="B91" s="255" t="s">
        <v>256</v>
      </c>
      <c r="C91" s="262">
        <v>71</v>
      </c>
      <c r="D91" s="263" t="s">
        <v>2112</v>
      </c>
      <c r="E91" s="262">
        <v>722</v>
      </c>
      <c r="F91" s="254">
        <v>722620071</v>
      </c>
    </row>
    <row r="92" spans="1:6">
      <c r="A92" s="255">
        <v>722730071</v>
      </c>
      <c r="B92" s="255" t="s">
        <v>257</v>
      </c>
      <c r="C92" s="262">
        <v>71</v>
      </c>
      <c r="D92" s="263" t="s">
        <v>2112</v>
      </c>
      <c r="E92" s="262">
        <v>722</v>
      </c>
      <c r="F92" s="254">
        <v>722730071</v>
      </c>
    </row>
    <row r="93" spans="1:6">
      <c r="A93" s="255">
        <v>723110071</v>
      </c>
      <c r="B93" s="255" t="s">
        <v>258</v>
      </c>
      <c r="C93" s="262">
        <v>71</v>
      </c>
      <c r="D93" s="263" t="s">
        <v>2112</v>
      </c>
      <c r="E93" s="262">
        <v>723</v>
      </c>
      <c r="F93" s="274">
        <v>723110071</v>
      </c>
    </row>
    <row r="94" spans="1:6">
      <c r="A94" s="255">
        <v>723130071</v>
      </c>
      <c r="B94" s="255" t="s">
        <v>2115</v>
      </c>
      <c r="C94" s="262">
        <v>71</v>
      </c>
      <c r="D94" s="263" t="s">
        <v>2112</v>
      </c>
      <c r="E94" s="262">
        <v>723</v>
      </c>
      <c r="F94" s="274">
        <v>723130071</v>
      </c>
    </row>
    <row r="95" spans="1:6">
      <c r="A95" s="255">
        <v>723140071</v>
      </c>
      <c r="B95" s="255" t="s">
        <v>2116</v>
      </c>
      <c r="C95" s="262">
        <v>71</v>
      </c>
      <c r="D95" s="263" t="s">
        <v>2112</v>
      </c>
      <c r="E95" s="262">
        <v>723</v>
      </c>
      <c r="F95" s="274">
        <v>723140071</v>
      </c>
    </row>
    <row r="96" spans="1:6">
      <c r="A96" s="255">
        <v>723150071</v>
      </c>
      <c r="B96" s="255" t="s">
        <v>2117</v>
      </c>
      <c r="C96" s="262">
        <v>71</v>
      </c>
      <c r="D96" s="263" t="s">
        <v>2112</v>
      </c>
      <c r="E96" s="262">
        <v>723</v>
      </c>
      <c r="F96" s="274">
        <v>723150071</v>
      </c>
    </row>
    <row r="97" spans="1:6">
      <c r="A97" s="255">
        <v>723160071</v>
      </c>
      <c r="B97" s="255" t="s">
        <v>2118</v>
      </c>
      <c r="C97" s="262">
        <v>71</v>
      </c>
      <c r="D97" s="263" t="s">
        <v>2112</v>
      </c>
      <c r="E97" s="262">
        <v>723</v>
      </c>
      <c r="F97" s="274">
        <v>723160071</v>
      </c>
    </row>
    <row r="98" spans="1:6">
      <c r="A98" s="255">
        <v>723310071</v>
      </c>
      <c r="B98" s="255" t="s">
        <v>2119</v>
      </c>
      <c r="C98" s="262">
        <v>71</v>
      </c>
      <c r="D98" s="263" t="s">
        <v>2112</v>
      </c>
      <c r="E98" s="262">
        <v>723</v>
      </c>
      <c r="F98" s="274">
        <v>723310071</v>
      </c>
    </row>
    <row r="99" spans="1:6">
      <c r="A99" s="255">
        <v>725210071</v>
      </c>
      <c r="B99" s="255" t="s">
        <v>259</v>
      </c>
      <c r="C99" s="262">
        <v>71</v>
      </c>
      <c r="D99" s="263" t="s">
        <v>2112</v>
      </c>
      <c r="E99" s="262">
        <v>725</v>
      </c>
      <c r="F99" s="274">
        <v>725210071</v>
      </c>
    </row>
    <row r="100" spans="1:6">
      <c r="A100" s="255">
        <v>812150000</v>
      </c>
      <c r="B100" s="255" t="s">
        <v>2120</v>
      </c>
      <c r="C100" s="262">
        <v>81</v>
      </c>
      <c r="D100" s="263" t="s">
        <v>2121</v>
      </c>
      <c r="E100" s="262">
        <v>812</v>
      </c>
      <c r="F100" s="274">
        <v>812150000</v>
      </c>
    </row>
    <row r="101" spans="1:6">
      <c r="A101" s="255">
        <v>818120043</v>
      </c>
      <c r="B101" s="255" t="s">
        <v>1556</v>
      </c>
      <c r="C101" s="262">
        <v>43</v>
      </c>
      <c r="D101" s="263" t="s">
        <v>103</v>
      </c>
      <c r="E101" s="262">
        <v>818</v>
      </c>
      <c r="F101" s="274">
        <v>818120043</v>
      </c>
    </row>
    <row r="102" spans="1:6">
      <c r="A102" s="255">
        <v>832120043</v>
      </c>
      <c r="B102" s="255" t="s">
        <v>1557</v>
      </c>
      <c r="C102" s="262">
        <v>43</v>
      </c>
      <c r="D102" s="263" t="s">
        <v>103</v>
      </c>
      <c r="E102" s="262">
        <v>832</v>
      </c>
      <c r="F102" s="274">
        <v>832120043</v>
      </c>
    </row>
    <row r="103" spans="1:6">
      <c r="A103" s="255">
        <v>833130043</v>
      </c>
      <c r="B103" s="255" t="s">
        <v>2122</v>
      </c>
      <c r="C103" s="262">
        <v>43</v>
      </c>
      <c r="D103" s="263" t="s">
        <v>103</v>
      </c>
      <c r="E103" s="262">
        <v>833</v>
      </c>
      <c r="F103" s="274">
        <v>833130043</v>
      </c>
    </row>
    <row r="104" spans="1:6">
      <c r="A104" s="255">
        <v>841320133</v>
      </c>
      <c r="B104" s="255" t="s">
        <v>1558</v>
      </c>
      <c r="C104" s="262">
        <v>83</v>
      </c>
      <c r="D104" s="263" t="s">
        <v>1540</v>
      </c>
      <c r="E104" s="262">
        <v>841</v>
      </c>
      <c r="F104" s="274">
        <v>841320133</v>
      </c>
    </row>
    <row r="105" spans="1:6">
      <c r="A105" s="255">
        <v>841320135</v>
      </c>
      <c r="B105" s="255" t="s">
        <v>1559</v>
      </c>
      <c r="C105" s="262">
        <v>83</v>
      </c>
      <c r="D105" s="263" t="s">
        <v>1540</v>
      </c>
      <c r="E105" s="262">
        <v>841</v>
      </c>
      <c r="F105" s="274">
        <v>841320135</v>
      </c>
    </row>
    <row r="106" spans="1:6">
      <c r="A106" s="255">
        <v>842220081</v>
      </c>
      <c r="B106" s="255" t="s">
        <v>2123</v>
      </c>
      <c r="C106" s="262">
        <v>81</v>
      </c>
      <c r="D106" s="263" t="s">
        <v>2121</v>
      </c>
      <c r="E106" s="262">
        <v>842</v>
      </c>
      <c r="F106" s="274">
        <v>842220081</v>
      </c>
    </row>
    <row r="107" spans="1:6">
      <c r="A107" s="265"/>
      <c r="B107" s="265"/>
      <c r="C107" s="266"/>
      <c r="D107" s="267"/>
      <c r="E107" s="266"/>
    </row>
    <row r="111" spans="1:6">
      <c r="A111" s="270"/>
      <c r="B111" s="270"/>
      <c r="C111" s="270"/>
      <c r="D111" s="270"/>
      <c r="E111" s="270"/>
      <c r="F111" s="270"/>
    </row>
    <row r="112" spans="1:6">
      <c r="A112" s="270"/>
      <c r="B112" s="270"/>
      <c r="C112" s="270"/>
      <c r="D112" s="270"/>
      <c r="E112" s="270"/>
      <c r="F112" s="270"/>
    </row>
    <row r="113" spans="1:6">
      <c r="A113" s="270"/>
      <c r="B113" s="270"/>
      <c r="C113" s="270"/>
      <c r="D113" s="270"/>
      <c r="E113" s="270"/>
      <c r="F113" s="270"/>
    </row>
    <row r="114" spans="1:6">
      <c r="A114" s="270"/>
      <c r="B114" s="270"/>
      <c r="C114" s="270"/>
      <c r="D114" s="270"/>
      <c r="E114" s="270"/>
      <c r="F114" s="270"/>
    </row>
    <row r="115" spans="1:6">
      <c r="A115" s="270"/>
      <c r="B115" s="270"/>
      <c r="C115" s="270"/>
      <c r="D115" s="270"/>
      <c r="E115" s="270"/>
      <c r="F115" s="270"/>
    </row>
    <row r="116" spans="1:6">
      <c r="A116" s="270"/>
      <c r="B116" s="270"/>
      <c r="C116" s="270"/>
      <c r="D116" s="270"/>
      <c r="E116" s="270"/>
      <c r="F116" s="270"/>
    </row>
    <row r="117" spans="1:6">
      <c r="A117" s="270"/>
      <c r="B117" s="270"/>
      <c r="C117" s="270"/>
      <c r="D117" s="270"/>
      <c r="E117" s="270"/>
      <c r="F117" s="270"/>
    </row>
    <row r="118" spans="1:6">
      <c r="A118" s="270"/>
      <c r="B118" s="270"/>
      <c r="C118" s="270"/>
      <c r="D118" s="270"/>
      <c r="E118" s="270"/>
      <c r="F118" s="270"/>
    </row>
    <row r="119" spans="1:6">
      <c r="A119" s="270"/>
      <c r="B119" s="270"/>
      <c r="C119" s="270"/>
      <c r="D119" s="270"/>
      <c r="E119" s="270"/>
      <c r="F119" s="270"/>
    </row>
    <row r="120" spans="1:6">
      <c r="A120" s="270"/>
      <c r="B120" s="270"/>
      <c r="C120" s="270"/>
      <c r="D120" s="270"/>
      <c r="E120" s="270"/>
      <c r="F120" s="270"/>
    </row>
    <row r="121" spans="1:6">
      <c r="A121" s="270"/>
      <c r="B121" s="270"/>
      <c r="C121" s="270"/>
      <c r="D121" s="270"/>
      <c r="E121" s="270"/>
      <c r="F121" s="270"/>
    </row>
    <row r="122" spans="1:6">
      <c r="A122" s="270"/>
      <c r="B122" s="270"/>
      <c r="C122" s="270"/>
      <c r="D122" s="270"/>
      <c r="E122" s="270"/>
      <c r="F122" s="270"/>
    </row>
    <row r="123" spans="1:6">
      <c r="A123" s="270"/>
      <c r="B123" s="270"/>
      <c r="C123" s="270"/>
      <c r="D123" s="270"/>
      <c r="E123" s="270"/>
      <c r="F123" s="27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08"/>
  <sheetViews>
    <sheetView showGridLines="0" zoomScaleNormal="100" workbookViewId="0">
      <pane ySplit="2" topLeftCell="A3" activePane="bottomLeft" state="frozen"/>
      <selection pane="bottomLeft" activeCell="I9" sqref="I9"/>
    </sheetView>
  </sheetViews>
  <sheetFormatPr defaultColWidth="9.140625"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21" width="9.140625" hidden="1" customWidth="1"/>
    <col min="22" max="22" width="0" hidden="1" customWidth="1"/>
  </cols>
  <sheetData>
    <row r="1" spans="1:21" ht="37.5" customHeight="1">
      <c r="A1" s="318" t="s">
        <v>758</v>
      </c>
      <c r="B1" s="318"/>
      <c r="C1" s="318"/>
      <c r="D1" s="318"/>
      <c r="E1" s="190" t="str">
        <f>IF('Opći dio'!C3="odaberite -","Molimo odaberite proračunskog korisnika na radnom listu Opći podaci!","")</f>
        <v/>
      </c>
    </row>
    <row r="2" spans="1:21" ht="36" customHeight="1">
      <c r="A2" s="67" t="s">
        <v>43</v>
      </c>
      <c r="B2" s="67" t="s">
        <v>44</v>
      </c>
      <c r="C2" s="67" t="s">
        <v>45</v>
      </c>
      <c r="D2" s="67" t="s">
        <v>46</v>
      </c>
      <c r="E2" s="148" t="s">
        <v>784</v>
      </c>
      <c r="F2" s="67" t="s">
        <v>785</v>
      </c>
      <c r="G2" s="192" t="s">
        <v>2141</v>
      </c>
      <c r="H2" s="192" t="s">
        <v>2142</v>
      </c>
      <c r="I2" s="192" t="s">
        <v>2143</v>
      </c>
      <c r="K2" s="144" t="s">
        <v>759</v>
      </c>
      <c r="L2" s="144" t="s">
        <v>760</v>
      </c>
      <c r="Q2" s="61" t="s">
        <v>776</v>
      </c>
    </row>
    <row r="3" spans="1:21">
      <c r="A3" s="139" t="str">
        <f>IF(E3="","",VLOOKUP('Opći dio'!$C$3,'Opći dio'!$L$6:$U$136,10,FALSE))</f>
        <v>08006</v>
      </c>
      <c r="B3" s="139" t="str">
        <f>IF(E3="","",VLOOKUP('Opći dio'!$C$3,'Opći dio'!$L$6:$U$136,9,FALSE))</f>
        <v>Sveučilišta i veleučilišta u Republici Hrvatskoj</v>
      </c>
      <c r="C3" s="187">
        <f t="shared" ref="C3" si="0">IFERROR(VLOOKUP(E3,$Q$6:$T$200,3,FALSE),"")</f>
        <v>11</v>
      </c>
      <c r="D3" s="138" t="str">
        <f t="shared" ref="D3" si="1">IFERROR(VLOOKUP(E3,$Q$6:$T$200,4,FALSE),"")</f>
        <v>Opći prihodi i primici</v>
      </c>
      <c r="E3" s="290" t="s">
        <v>776</v>
      </c>
      <c r="F3" s="191" t="str">
        <f t="shared" ref="F3" si="2">IFERROR(VLOOKUP(E3,$Q$6:$T$200,2,FALSE),"")</f>
        <v>Prihodi iz nadležnog proračuna za financiranje redovne djelatnosti proračunskih korisnika</v>
      </c>
      <c r="G3" s="291">
        <v>153483452</v>
      </c>
      <c r="H3" s="291">
        <v>156373015</v>
      </c>
      <c r="I3" s="291">
        <v>157684699</v>
      </c>
      <c r="K3" s="141" t="str">
        <f>LEFT(E3,3)</f>
        <v>671</v>
      </c>
      <c r="L3" s="141" t="str">
        <f>LEFT(E3,2)</f>
        <v>67</v>
      </c>
      <c r="M3" t="s">
        <v>370</v>
      </c>
      <c r="Q3" s="61" t="s">
        <v>777</v>
      </c>
    </row>
    <row r="4" spans="1:21">
      <c r="A4" s="139" t="str">
        <f>IF(E4="","",VLOOKUP('Opći dio'!$C$3,'Opći dio'!$L$6:$U$136,10,FALSE))</f>
        <v>08006</v>
      </c>
      <c r="B4" s="139" t="str">
        <f>IF(E4="","",VLOOKUP('Opći dio'!$C$3,'Opći dio'!$L$6:$U$136,9,FALSE))</f>
        <v>Sveučilišta i veleučilišta u Republici Hrvatskoj</v>
      </c>
      <c r="C4" s="187">
        <f t="shared" ref="C4:C67" si="3">IFERROR(VLOOKUP(E4,$Q$6:$T$200,3,FALSE),"")</f>
        <v>31</v>
      </c>
      <c r="D4" s="138" t="str">
        <f t="shared" ref="D4:D67" si="4">IFERROR(VLOOKUP(E4,$Q$6:$T$200,4,FALSE),"")</f>
        <v>Vlastiti prihodi</v>
      </c>
      <c r="E4" s="290">
        <v>641630031</v>
      </c>
      <c r="F4" s="191" t="str">
        <f t="shared" ref="F4:F67" si="5">IFERROR(VLOOKUP(E4,$Q$6:$T$200,2,FALSE),"")</f>
        <v>Prihod od dividendi na dionice u kreditnim i ostalim financijskim institucijama izvan javnog sektora izvor 31</v>
      </c>
      <c r="G4" s="291">
        <v>15000</v>
      </c>
      <c r="H4" s="291">
        <v>15000</v>
      </c>
      <c r="I4" s="291">
        <v>15000</v>
      </c>
      <c r="K4" s="141" t="str">
        <f t="shared" ref="K4:K67" si="6">LEFT(E4,3)</f>
        <v>641</v>
      </c>
      <c r="L4" s="141" t="str">
        <f t="shared" ref="L4:L67" si="7">LEFT(E4,2)</f>
        <v>64</v>
      </c>
    </row>
    <row r="5" spans="1:21">
      <c r="A5" s="139" t="str">
        <f>IF(E5="","",VLOOKUP('Opći dio'!$C$3,'Opći dio'!$L$6:$U$136,10,FALSE))</f>
        <v>08006</v>
      </c>
      <c r="B5" s="139" t="str">
        <f>IF(E5="","",VLOOKUP('Opći dio'!$C$3,'Opći dio'!$L$6:$U$136,9,FALSE))</f>
        <v>Sveučilišta i veleučilišta u Republici Hrvatskoj</v>
      </c>
      <c r="C5" s="187">
        <f t="shared" si="3"/>
        <v>31</v>
      </c>
      <c r="D5" s="138" t="str">
        <f t="shared" si="4"/>
        <v>Vlastiti prihodi</v>
      </c>
      <c r="E5" s="290">
        <v>6614</v>
      </c>
      <c r="F5" s="191" t="str">
        <f t="shared" si="5"/>
        <v>Prihodi od prodanih proizvoda i robe</v>
      </c>
      <c r="G5" s="291">
        <v>300000</v>
      </c>
      <c r="H5" s="291">
        <v>320000</v>
      </c>
      <c r="I5" s="291">
        <v>320000</v>
      </c>
      <c r="K5" s="141" t="str">
        <f t="shared" si="6"/>
        <v>661</v>
      </c>
      <c r="L5" s="141" t="str">
        <f t="shared" si="7"/>
        <v>66</v>
      </c>
      <c r="M5" s="141" t="s">
        <v>45</v>
      </c>
      <c r="N5" s="141" t="s">
        <v>46</v>
      </c>
      <c r="Q5" s="68" t="s">
        <v>761</v>
      </c>
      <c r="R5" s="67" t="s">
        <v>778</v>
      </c>
      <c r="S5" s="67" t="s">
        <v>779</v>
      </c>
      <c r="T5" s="67" t="s">
        <v>46</v>
      </c>
      <c r="U5" s="149" t="s">
        <v>780</v>
      </c>
    </row>
    <row r="6" spans="1:21">
      <c r="A6" s="139" t="str">
        <f>IF(E6="","",VLOOKUP('Opći dio'!$C$3,'Opći dio'!$L$6:$U$136,10,FALSE))</f>
        <v>08006</v>
      </c>
      <c r="B6" s="139" t="str">
        <f>IF(E6="","",VLOOKUP('Opći dio'!$C$3,'Opći dio'!$L$6:$U$136,9,FALSE))</f>
        <v>Sveučilišta i veleučilišta u Republici Hrvatskoj</v>
      </c>
      <c r="C6" s="187">
        <f t="shared" si="3"/>
        <v>31</v>
      </c>
      <c r="D6" s="138" t="str">
        <f t="shared" si="4"/>
        <v>Vlastiti prihodi</v>
      </c>
      <c r="E6" s="290">
        <v>6615</v>
      </c>
      <c r="F6" s="191" t="str">
        <f t="shared" si="5"/>
        <v>Prihodi od pruženih usluga</v>
      </c>
      <c r="G6" s="291">
        <v>9000000</v>
      </c>
      <c r="H6" s="291">
        <v>9500000</v>
      </c>
      <c r="I6" s="291">
        <v>9500000</v>
      </c>
      <c r="K6" s="141" t="str">
        <f t="shared" si="6"/>
        <v>661</v>
      </c>
      <c r="L6" s="141" t="str">
        <f t="shared" si="7"/>
        <v>66</v>
      </c>
      <c r="M6" s="141">
        <v>11</v>
      </c>
      <c r="N6" s="141" t="s">
        <v>53</v>
      </c>
      <c r="Q6" s="6" t="s">
        <v>776</v>
      </c>
      <c r="R6" s="6" t="s">
        <v>260</v>
      </c>
      <c r="S6" s="6">
        <v>11</v>
      </c>
      <c r="T6" s="6" t="s">
        <v>53</v>
      </c>
      <c r="U6">
        <v>671</v>
      </c>
    </row>
    <row r="7" spans="1:21">
      <c r="A7" s="139" t="str">
        <f>IF(E7="","",VLOOKUP('Opći dio'!$C$3,'Opći dio'!$L$6:$U$136,10,FALSE))</f>
        <v>08006</v>
      </c>
      <c r="B7" s="139" t="str">
        <f>IF(E7="","",VLOOKUP('Opći dio'!$C$3,'Opći dio'!$L$6:$U$136,9,FALSE))</f>
        <v>Sveučilišta i veleučilišta u Republici Hrvatskoj</v>
      </c>
      <c r="C7" s="187">
        <f t="shared" si="3"/>
        <v>43</v>
      </c>
      <c r="D7" s="138" t="str">
        <f t="shared" si="4"/>
        <v>Ostali prihodi za posebne namjene</v>
      </c>
      <c r="E7" s="290">
        <v>652680000</v>
      </c>
      <c r="F7" s="191" t="str">
        <f t="shared" si="5"/>
        <v xml:space="preserve">Ostali prihodi za posebne namjene </v>
      </c>
      <c r="G7" s="291">
        <f>7500000-3556990</f>
        <v>3943010</v>
      </c>
      <c r="H7" s="291">
        <f>7700000-1902872</f>
        <v>5797128</v>
      </c>
      <c r="I7" s="291">
        <f>7700000-1577251</f>
        <v>6122749</v>
      </c>
      <c r="K7" s="141" t="str">
        <f t="shared" si="6"/>
        <v>652</v>
      </c>
      <c r="L7" s="141" t="str">
        <f t="shared" si="7"/>
        <v>65</v>
      </c>
      <c r="M7" s="141">
        <v>12</v>
      </c>
      <c r="N7" s="141" t="s">
        <v>263</v>
      </c>
      <c r="Q7" s="6" t="s">
        <v>777</v>
      </c>
      <c r="R7" s="6" t="s">
        <v>260</v>
      </c>
      <c r="S7" s="6">
        <v>12</v>
      </c>
      <c r="T7" s="6" t="s">
        <v>263</v>
      </c>
      <c r="U7">
        <v>671</v>
      </c>
    </row>
    <row r="8" spans="1:21">
      <c r="A8" s="139" t="str">
        <f>IF(E8="","",VLOOKUP('Opći dio'!$C$3,'Opći dio'!$L$6:$U$136,10,FALSE))</f>
        <v>08006</v>
      </c>
      <c r="B8" s="139" t="str">
        <f>IF(E8="","",VLOOKUP('Opći dio'!$C$3,'Opći dio'!$L$6:$U$136,9,FALSE))</f>
        <v>Sveučilišta i veleučilišta u Republici Hrvatskoj</v>
      </c>
      <c r="C8" s="187">
        <f t="shared" si="3"/>
        <v>51</v>
      </c>
      <c r="D8" s="138" t="str">
        <f t="shared" si="4"/>
        <v xml:space="preserve">Pomoći EU </v>
      </c>
      <c r="E8" s="290">
        <v>632311700</v>
      </c>
      <c r="F8" s="191" t="str">
        <f t="shared" si="5"/>
        <v>Tekuće pomoći od institucija i tijela EU - ostalo</v>
      </c>
      <c r="G8" s="291">
        <v>3659374</v>
      </c>
      <c r="H8" s="291">
        <v>3007878</v>
      </c>
      <c r="I8" s="291">
        <f>1173111+152070</f>
        <v>1325181</v>
      </c>
      <c r="K8" s="141" t="str">
        <f t="shared" si="6"/>
        <v>632</v>
      </c>
      <c r="L8" s="141" t="str">
        <f t="shared" si="7"/>
        <v>63</v>
      </c>
      <c r="M8" s="141">
        <v>31</v>
      </c>
      <c r="N8" s="141" t="s">
        <v>98</v>
      </c>
      <c r="Q8" s="6">
        <v>614810041</v>
      </c>
      <c r="R8" s="6" t="s">
        <v>1541</v>
      </c>
      <c r="S8" s="6">
        <v>41</v>
      </c>
      <c r="T8" s="6" t="s">
        <v>1537</v>
      </c>
      <c r="U8">
        <v>614</v>
      </c>
    </row>
    <row r="9" spans="1:21">
      <c r="A9" s="139" t="str">
        <f>IF(E9="","",VLOOKUP('Opći dio'!$C$3,'Opći dio'!$L$6:$U$136,10,FALSE))</f>
        <v>08006</v>
      </c>
      <c r="B9" s="139" t="str">
        <f>IF(E9="","",VLOOKUP('Opći dio'!$C$3,'Opći dio'!$L$6:$U$136,9,FALSE))</f>
        <v>Sveučilišta i veleučilišta u Republici Hrvatskoj</v>
      </c>
      <c r="C9" s="187">
        <f t="shared" si="3"/>
        <v>52</v>
      </c>
      <c r="D9" s="138" t="str">
        <f t="shared" si="4"/>
        <v xml:space="preserve">Ostale pomoći i darovnice </v>
      </c>
      <c r="E9" s="293">
        <v>632112000</v>
      </c>
      <c r="F9" s="191" t="str">
        <f t="shared" si="5"/>
        <v>Tekuće pomoći od međunarodnih organizacija</v>
      </c>
      <c r="G9" s="292">
        <v>100000</v>
      </c>
      <c r="H9" s="292">
        <v>100000</v>
      </c>
      <c r="I9" s="292">
        <v>100000</v>
      </c>
      <c r="K9" s="141" t="str">
        <f t="shared" si="6"/>
        <v>632</v>
      </c>
      <c r="L9" s="141" t="str">
        <f t="shared" si="7"/>
        <v>63</v>
      </c>
      <c r="M9">
        <v>41</v>
      </c>
      <c r="N9" t="s">
        <v>1537</v>
      </c>
      <c r="Q9" s="6">
        <v>614820041</v>
      </c>
      <c r="R9" s="6" t="s">
        <v>1542</v>
      </c>
      <c r="S9" s="6">
        <v>41</v>
      </c>
      <c r="T9" s="6" t="s">
        <v>1537</v>
      </c>
      <c r="U9">
        <v>614</v>
      </c>
    </row>
    <row r="10" spans="1:21">
      <c r="A10" s="139" t="str">
        <f>IF(E10="","",VLOOKUP('Opći dio'!$C$3,'Opći dio'!$L$6:$U$136,10,FALSE))</f>
        <v>08006</v>
      </c>
      <c r="B10" s="139" t="str">
        <f>IF(E10="","",VLOOKUP('Opći dio'!$C$3,'Opći dio'!$L$6:$U$136,9,FALSE))</f>
        <v>Sveučilišta i veleučilišta u Republici Hrvatskoj</v>
      </c>
      <c r="C10" s="187">
        <f t="shared" si="3"/>
        <v>61</v>
      </c>
      <c r="D10" s="138" t="str">
        <f t="shared" si="4"/>
        <v xml:space="preserve">Donacije </v>
      </c>
      <c r="E10" s="295">
        <v>663130000</v>
      </c>
      <c r="F10" s="191" t="str">
        <f t="shared" si="5"/>
        <v>Tekuće donacije od trgovačkih društava</v>
      </c>
      <c r="G10" s="294">
        <v>230000</v>
      </c>
      <c r="H10" s="294">
        <v>115000</v>
      </c>
      <c r="I10" s="294"/>
      <c r="K10" s="141" t="str">
        <f t="shared" si="6"/>
        <v>663</v>
      </c>
      <c r="L10" s="141" t="str">
        <f t="shared" si="7"/>
        <v>66</v>
      </c>
      <c r="M10" s="141">
        <v>43</v>
      </c>
      <c r="N10" s="141" t="s">
        <v>103</v>
      </c>
      <c r="Q10" s="6">
        <v>614830041</v>
      </c>
      <c r="R10" s="6" t="s">
        <v>1543</v>
      </c>
      <c r="S10" s="6">
        <v>41</v>
      </c>
      <c r="T10" s="6" t="s">
        <v>1537</v>
      </c>
      <c r="U10">
        <v>614</v>
      </c>
    </row>
    <row r="11" spans="1:21">
      <c r="A11" s="139" t="str">
        <f>IF(E11="","",VLOOKUP('Opći dio'!$C$3,'Opći dio'!$L$6:$U$136,10,FALSE))</f>
        <v/>
      </c>
      <c r="B11" s="139" t="str">
        <f>IF(E11="","",VLOOKUP('Opći dio'!$C$3,'Opći dio'!$L$6:$U$136,9,FALSE))</f>
        <v/>
      </c>
      <c r="C11" s="187" t="str">
        <f t="shared" si="3"/>
        <v/>
      </c>
      <c r="D11" s="138" t="str">
        <f t="shared" si="4"/>
        <v/>
      </c>
      <c r="E11" s="290"/>
      <c r="F11" s="191" t="str">
        <f t="shared" si="5"/>
        <v/>
      </c>
      <c r="G11" s="185"/>
      <c r="H11" s="185"/>
      <c r="I11" s="185"/>
      <c r="K11" s="141" t="str">
        <f t="shared" si="6"/>
        <v/>
      </c>
      <c r="L11" s="141" t="str">
        <f t="shared" si="7"/>
        <v/>
      </c>
      <c r="M11" s="141">
        <v>51</v>
      </c>
      <c r="N11" s="141" t="s">
        <v>93</v>
      </c>
      <c r="Q11" s="6">
        <v>614840041</v>
      </c>
      <c r="R11" s="6" t="s">
        <v>1544</v>
      </c>
      <c r="S11" s="6">
        <v>41</v>
      </c>
      <c r="T11" s="6" t="s">
        <v>1537</v>
      </c>
      <c r="U11">
        <v>614</v>
      </c>
    </row>
    <row r="12" spans="1:21">
      <c r="A12" s="139" t="str">
        <f>IF(E12="","",VLOOKUP('Opći dio'!$C$3,'Opći dio'!$L$6:$U$136,10,FALSE))</f>
        <v/>
      </c>
      <c r="B12" s="139" t="str">
        <f>IF(E12="","",VLOOKUP('Opći dio'!$C$3,'Opći dio'!$L$6:$U$136,9,FALSE))</f>
        <v/>
      </c>
      <c r="C12" s="187" t="str">
        <f t="shared" si="3"/>
        <v/>
      </c>
      <c r="D12" s="138" t="str">
        <f t="shared" si="4"/>
        <v/>
      </c>
      <c r="E12" s="290"/>
      <c r="F12" s="191" t="str">
        <f t="shared" si="5"/>
        <v/>
      </c>
      <c r="G12" s="185"/>
      <c r="H12" s="185"/>
      <c r="I12" s="185"/>
      <c r="K12" s="141" t="str">
        <f t="shared" si="6"/>
        <v/>
      </c>
      <c r="L12" s="141" t="str">
        <f t="shared" si="7"/>
        <v/>
      </c>
      <c r="M12" s="141">
        <v>52</v>
      </c>
      <c r="N12" s="141" t="s">
        <v>116</v>
      </c>
      <c r="Q12" s="6">
        <v>631110000</v>
      </c>
      <c r="R12" s="6" t="s">
        <v>25</v>
      </c>
      <c r="S12" s="6">
        <v>52</v>
      </c>
      <c r="T12" s="6" t="s">
        <v>2088</v>
      </c>
      <c r="U12">
        <v>631</v>
      </c>
    </row>
    <row r="13" spans="1:21">
      <c r="A13" s="139" t="str">
        <f>IF(E13="","",VLOOKUP('Opći dio'!$C$3,'Opći dio'!$L$6:$U$136,10,FALSE))</f>
        <v/>
      </c>
      <c r="B13" s="139" t="str">
        <f>IF(E13="","",VLOOKUP('Opći dio'!$C$3,'Opći dio'!$L$6:$U$136,9,FALSE))</f>
        <v/>
      </c>
      <c r="C13" s="187" t="str">
        <f t="shared" si="3"/>
        <v/>
      </c>
      <c r="D13" s="138" t="str">
        <f t="shared" si="4"/>
        <v/>
      </c>
      <c r="E13" s="290"/>
      <c r="F13" s="191" t="str">
        <f t="shared" si="5"/>
        <v/>
      </c>
      <c r="G13" s="185"/>
      <c r="H13" s="185"/>
      <c r="I13" s="185"/>
      <c r="K13" s="141" t="str">
        <f t="shared" si="6"/>
        <v/>
      </c>
      <c r="L13" s="141" t="str">
        <f t="shared" si="7"/>
        <v/>
      </c>
      <c r="M13">
        <v>552</v>
      </c>
      <c r="N13" t="s">
        <v>1538</v>
      </c>
      <c r="Q13" s="6">
        <v>631120000</v>
      </c>
      <c r="R13" s="6" t="s">
        <v>26</v>
      </c>
      <c r="S13" s="6">
        <v>52</v>
      </c>
      <c r="T13" s="6" t="s">
        <v>2088</v>
      </c>
      <c r="U13">
        <v>631</v>
      </c>
    </row>
    <row r="14" spans="1:21">
      <c r="A14" s="139" t="str">
        <f>IF(E14="","",VLOOKUP('Opći dio'!$C$3,'Opći dio'!$L$6:$U$136,10,FALSE))</f>
        <v/>
      </c>
      <c r="B14" s="139" t="str">
        <f>IF(E14="","",VLOOKUP('Opći dio'!$C$3,'Opći dio'!$L$6:$U$136,9,FALSE))</f>
        <v/>
      </c>
      <c r="C14" s="187" t="str">
        <f t="shared" si="3"/>
        <v/>
      </c>
      <c r="D14" s="138" t="str">
        <f t="shared" si="4"/>
        <v/>
      </c>
      <c r="E14" s="290"/>
      <c r="F14" s="191" t="str">
        <f t="shared" si="5"/>
        <v/>
      </c>
      <c r="G14" s="185"/>
      <c r="H14" s="185"/>
      <c r="I14" s="185"/>
      <c r="K14" s="141" t="str">
        <f t="shared" si="6"/>
        <v/>
      </c>
      <c r="L14" s="141" t="str">
        <f t="shared" si="7"/>
        <v/>
      </c>
      <c r="M14">
        <v>559</v>
      </c>
      <c r="N14" t="s">
        <v>1539</v>
      </c>
      <c r="Q14" s="6">
        <v>631210000</v>
      </c>
      <c r="R14" s="6" t="s">
        <v>27</v>
      </c>
      <c r="S14" s="6">
        <v>52</v>
      </c>
      <c r="T14" s="6" t="s">
        <v>2088</v>
      </c>
      <c r="U14">
        <v>631</v>
      </c>
    </row>
    <row r="15" spans="1:21">
      <c r="A15" s="139" t="str">
        <f>IF(E15="","",VLOOKUP('Opći dio'!$C$3,'Opći dio'!$L$6:$U$136,10,FALSE))</f>
        <v/>
      </c>
      <c r="B15" s="139" t="str">
        <f>IF(E15="","",VLOOKUP('Opći dio'!$C$3,'Opći dio'!$L$6:$U$136,9,FALSE))</f>
        <v/>
      </c>
      <c r="C15" s="187" t="str">
        <f t="shared" si="3"/>
        <v/>
      </c>
      <c r="D15" s="138" t="str">
        <f t="shared" si="4"/>
        <v/>
      </c>
      <c r="E15" s="290"/>
      <c r="F15" s="191" t="str">
        <f t="shared" si="5"/>
        <v/>
      </c>
      <c r="G15" s="185"/>
      <c r="H15" s="185"/>
      <c r="I15" s="185"/>
      <c r="K15" s="141" t="str">
        <f t="shared" si="6"/>
        <v/>
      </c>
      <c r="L15" s="141" t="str">
        <f t="shared" si="7"/>
        <v/>
      </c>
      <c r="M15" s="141">
        <v>561</v>
      </c>
      <c r="N15" s="141" t="s">
        <v>118</v>
      </c>
      <c r="Q15" s="6">
        <v>631220000</v>
      </c>
      <c r="R15" s="6" t="s">
        <v>28</v>
      </c>
      <c r="S15" s="6">
        <v>52</v>
      </c>
      <c r="T15" s="6" t="s">
        <v>2088</v>
      </c>
      <c r="U15">
        <v>631</v>
      </c>
    </row>
    <row r="16" spans="1:21">
      <c r="A16" s="139" t="str">
        <f>IF(E16="","",VLOOKUP('Opći dio'!$C$3,'Opći dio'!$L$6:$U$136,10,FALSE))</f>
        <v/>
      </c>
      <c r="B16" s="139" t="str">
        <f>IF(E16="","",VLOOKUP('Opći dio'!$C$3,'Opći dio'!$L$6:$U$136,9,FALSE))</f>
        <v/>
      </c>
      <c r="C16" s="187" t="str">
        <f t="shared" si="3"/>
        <v/>
      </c>
      <c r="D16" s="138" t="str">
        <f t="shared" si="4"/>
        <v/>
      </c>
      <c r="E16" s="150"/>
      <c r="F16" s="191" t="str">
        <f t="shared" si="5"/>
        <v/>
      </c>
      <c r="G16" s="185"/>
      <c r="H16" s="185"/>
      <c r="I16" s="185"/>
      <c r="K16" s="141" t="str">
        <f t="shared" si="6"/>
        <v/>
      </c>
      <c r="L16" s="141" t="str">
        <f t="shared" si="7"/>
        <v/>
      </c>
      <c r="M16" s="141">
        <v>563</v>
      </c>
      <c r="N16" s="141" t="s">
        <v>120</v>
      </c>
      <c r="Q16" s="6">
        <v>632112000</v>
      </c>
      <c r="R16" s="6" t="s">
        <v>2089</v>
      </c>
      <c r="S16" s="6">
        <v>52</v>
      </c>
      <c r="T16" s="6" t="s">
        <v>2088</v>
      </c>
      <c r="U16">
        <v>632</v>
      </c>
    </row>
    <row r="17" spans="1:21">
      <c r="A17" s="139" t="str">
        <f>IF(E17="","",VLOOKUP('Opći dio'!$C$3,'Opći dio'!$L$6:$U$136,10,FALSE))</f>
        <v/>
      </c>
      <c r="B17" s="139" t="str">
        <f>IF(E17="","",VLOOKUP('Opći dio'!$C$3,'Opći dio'!$L$6:$U$136,9,FALSE))</f>
        <v/>
      </c>
      <c r="C17" s="187" t="str">
        <f t="shared" si="3"/>
        <v/>
      </c>
      <c r="D17" s="138" t="str">
        <f t="shared" si="4"/>
        <v/>
      </c>
      <c r="E17" s="150"/>
      <c r="F17" s="191" t="str">
        <f t="shared" si="5"/>
        <v/>
      </c>
      <c r="G17" s="185"/>
      <c r="H17" s="185"/>
      <c r="I17" s="185"/>
      <c r="K17" s="141" t="str">
        <f t="shared" si="6"/>
        <v/>
      </c>
      <c r="L17" s="141" t="str">
        <f t="shared" si="7"/>
        <v/>
      </c>
      <c r="M17" s="141">
        <v>573</v>
      </c>
      <c r="N17" t="s">
        <v>1549</v>
      </c>
      <c r="Q17" s="6">
        <v>632212000</v>
      </c>
      <c r="R17" s="6" t="s">
        <v>2090</v>
      </c>
      <c r="S17" s="6">
        <v>52</v>
      </c>
      <c r="T17" s="6" t="s">
        <v>2088</v>
      </c>
      <c r="U17">
        <v>632</v>
      </c>
    </row>
    <row r="18" spans="1:21">
      <c r="A18" s="139" t="str">
        <f>IF(E18="","",VLOOKUP('Opći dio'!$C$3,'Opći dio'!$L$6:$U$136,10,FALSE))</f>
        <v/>
      </c>
      <c r="B18" s="139" t="str">
        <f>IF(E18="","",VLOOKUP('Opći dio'!$C$3,'Opći dio'!$L$6:$U$136,9,FALSE))</f>
        <v/>
      </c>
      <c r="C18" s="187" t="str">
        <f t="shared" si="3"/>
        <v/>
      </c>
      <c r="D18" s="138" t="str">
        <f t="shared" si="4"/>
        <v/>
      </c>
      <c r="E18" s="150"/>
      <c r="F18" s="191" t="str">
        <f t="shared" si="5"/>
        <v/>
      </c>
      <c r="G18" s="185"/>
      <c r="H18" s="185"/>
      <c r="I18" s="185"/>
      <c r="K18" s="141" t="str">
        <f t="shared" si="6"/>
        <v/>
      </c>
      <c r="L18" s="141" t="str">
        <f t="shared" si="7"/>
        <v/>
      </c>
      <c r="M18">
        <v>575</v>
      </c>
      <c r="N18" t="s">
        <v>1551</v>
      </c>
      <c r="Q18" s="6">
        <v>632310552</v>
      </c>
      <c r="R18" s="6" t="s">
        <v>1546</v>
      </c>
      <c r="S18" s="6">
        <v>552</v>
      </c>
      <c r="T18" s="6" t="s">
        <v>1538</v>
      </c>
      <c r="U18">
        <v>632</v>
      </c>
    </row>
    <row r="19" spans="1:21">
      <c r="A19" s="139" t="str">
        <f>IF(E19="","",VLOOKUP('Opći dio'!$C$3,'Opći dio'!$L$6:$U$136,10,FALSE))</f>
        <v/>
      </c>
      <c r="B19" s="139" t="str">
        <f>IF(E19="","",VLOOKUP('Opći dio'!$C$3,'Opći dio'!$L$6:$U$136,9,FALSE))</f>
        <v/>
      </c>
      <c r="C19" s="187" t="str">
        <f t="shared" si="3"/>
        <v/>
      </c>
      <c r="D19" s="138" t="str">
        <f t="shared" si="4"/>
        <v/>
      </c>
      <c r="E19" s="150"/>
      <c r="F19" s="191" t="str">
        <f t="shared" si="5"/>
        <v/>
      </c>
      <c r="G19" s="185"/>
      <c r="H19" s="185"/>
      <c r="I19" s="185"/>
      <c r="K19" s="141" t="str">
        <f t="shared" si="6"/>
        <v/>
      </c>
      <c r="L19" s="141" t="str">
        <f t="shared" si="7"/>
        <v/>
      </c>
      <c r="M19" s="223">
        <v>576</v>
      </c>
      <c r="N19" s="224" t="s">
        <v>2126</v>
      </c>
      <c r="Q19" s="6">
        <v>632310559</v>
      </c>
      <c r="R19" s="6" t="s">
        <v>1547</v>
      </c>
      <c r="S19" s="6">
        <v>559</v>
      </c>
      <c r="T19" s="6" t="s">
        <v>1539</v>
      </c>
      <c r="U19">
        <v>632</v>
      </c>
    </row>
    <row r="20" spans="1:21">
      <c r="A20" s="139" t="str">
        <f>IF(E20="","",VLOOKUP('Opći dio'!$C$3,'Opći dio'!$L$6:$U$136,10,FALSE))</f>
        <v/>
      </c>
      <c r="B20" s="139" t="str">
        <f>IF(E20="","",VLOOKUP('Opći dio'!$C$3,'Opći dio'!$L$6:$U$136,9,FALSE))</f>
        <v/>
      </c>
      <c r="C20" s="187" t="str">
        <f t="shared" si="3"/>
        <v/>
      </c>
      <c r="D20" s="138" t="str">
        <f t="shared" si="4"/>
        <v/>
      </c>
      <c r="E20" s="150"/>
      <c r="F20" s="191" t="str">
        <f t="shared" si="5"/>
        <v/>
      </c>
      <c r="G20" s="185"/>
      <c r="H20" s="185"/>
      <c r="I20" s="185"/>
      <c r="K20" s="141" t="str">
        <f t="shared" si="6"/>
        <v/>
      </c>
      <c r="L20" s="141" t="str">
        <f t="shared" si="7"/>
        <v/>
      </c>
      <c r="M20" s="141">
        <v>61</v>
      </c>
      <c r="N20" s="141" t="s">
        <v>122</v>
      </c>
      <c r="Q20" s="6">
        <v>632310573</v>
      </c>
      <c r="R20" s="6" t="s">
        <v>1548</v>
      </c>
      <c r="S20" s="6">
        <v>573</v>
      </c>
      <c r="T20" s="6" t="s">
        <v>1549</v>
      </c>
      <c r="U20">
        <v>632</v>
      </c>
    </row>
    <row r="21" spans="1:21">
      <c r="A21" s="139" t="str">
        <f>IF(E21="","",VLOOKUP('Opći dio'!$C$3,'Opći dio'!$L$6:$U$136,10,FALSE))</f>
        <v/>
      </c>
      <c r="B21" s="139" t="str">
        <f>IF(E21="","",VLOOKUP('Opći dio'!$C$3,'Opći dio'!$L$6:$U$136,9,FALSE))</f>
        <v/>
      </c>
      <c r="C21" s="187" t="str">
        <f t="shared" si="3"/>
        <v/>
      </c>
      <c r="D21" s="138" t="str">
        <f t="shared" si="4"/>
        <v/>
      </c>
      <c r="E21" s="150"/>
      <c r="F21" s="191" t="str">
        <f t="shared" si="5"/>
        <v/>
      </c>
      <c r="G21" s="185"/>
      <c r="H21" s="185"/>
      <c r="I21" s="185"/>
      <c r="K21" s="141" t="str">
        <f t="shared" si="6"/>
        <v/>
      </c>
      <c r="L21" s="141" t="str">
        <f t="shared" si="7"/>
        <v/>
      </c>
      <c r="M21" s="141">
        <v>71</v>
      </c>
      <c r="N21" s="141" t="s">
        <v>180</v>
      </c>
      <c r="Q21" s="6">
        <v>632310575</v>
      </c>
      <c r="R21" s="6" t="s">
        <v>1550</v>
      </c>
      <c r="S21" s="6">
        <v>575</v>
      </c>
      <c r="T21" s="6" t="s">
        <v>1551</v>
      </c>
      <c r="U21">
        <v>632</v>
      </c>
    </row>
    <row r="22" spans="1:21">
      <c r="A22" s="139" t="str">
        <f>IF(E22="","",VLOOKUP('Opći dio'!$C$3,'Opći dio'!$L$6:$U$136,10,FALSE))</f>
        <v/>
      </c>
      <c r="B22" s="139" t="str">
        <f>IF(E22="","",VLOOKUP('Opći dio'!$C$3,'Opći dio'!$L$6:$U$136,9,FALSE))</f>
        <v/>
      </c>
      <c r="C22" s="187" t="str">
        <f t="shared" si="3"/>
        <v/>
      </c>
      <c r="D22" s="138" t="str">
        <f t="shared" si="4"/>
        <v/>
      </c>
      <c r="E22" s="150"/>
      <c r="F22" s="191" t="str">
        <f t="shared" si="5"/>
        <v/>
      </c>
      <c r="G22" s="185"/>
      <c r="H22" s="185"/>
      <c r="I22" s="185"/>
      <c r="K22" s="141" t="str">
        <f t="shared" si="6"/>
        <v/>
      </c>
      <c r="L22" s="141" t="str">
        <f t="shared" si="7"/>
        <v/>
      </c>
      <c r="M22" s="141">
        <v>81</v>
      </c>
      <c r="N22" s="141" t="s">
        <v>63</v>
      </c>
      <c r="Q22" s="6">
        <v>632310576</v>
      </c>
      <c r="R22" s="6" t="s">
        <v>2127</v>
      </c>
      <c r="S22" s="6">
        <v>576</v>
      </c>
      <c r="T22" s="6" t="s">
        <v>2128</v>
      </c>
      <c r="U22">
        <v>632</v>
      </c>
    </row>
    <row r="23" spans="1:21">
      <c r="A23" s="139" t="str">
        <f>IF(E23="","",VLOOKUP('Opći dio'!$C$3,'Opći dio'!$L$6:$U$136,10,FALSE))</f>
        <v/>
      </c>
      <c r="B23" s="139" t="str">
        <f>IF(E23="","",VLOOKUP('Opći dio'!$C$3,'Opći dio'!$L$6:$U$136,9,FALSE))</f>
        <v/>
      </c>
      <c r="C23" s="187" t="str">
        <f t="shared" si="3"/>
        <v/>
      </c>
      <c r="D23" s="138" t="str">
        <f t="shared" si="4"/>
        <v/>
      </c>
      <c r="E23" s="150"/>
      <c r="F23" s="191" t="str">
        <f t="shared" si="5"/>
        <v/>
      </c>
      <c r="G23" s="185"/>
      <c r="H23" s="185"/>
      <c r="I23" s="185"/>
      <c r="K23" s="141" t="str">
        <f t="shared" si="6"/>
        <v/>
      </c>
      <c r="L23" s="141" t="str">
        <f t="shared" si="7"/>
        <v/>
      </c>
      <c r="M23">
        <v>83</v>
      </c>
      <c r="N23" t="s">
        <v>1540</v>
      </c>
      <c r="Q23" s="6">
        <v>632311700</v>
      </c>
      <c r="R23" s="6" t="s">
        <v>23</v>
      </c>
      <c r="S23" s="6">
        <v>51</v>
      </c>
      <c r="T23" s="6" t="s">
        <v>2091</v>
      </c>
      <c r="U23">
        <v>632</v>
      </c>
    </row>
    <row r="24" spans="1:21">
      <c r="A24" s="139" t="str">
        <f>IF(E24="","",VLOOKUP('Opći dio'!$C$3,'Opći dio'!$L$6:$U$136,10,FALSE))</f>
        <v/>
      </c>
      <c r="B24" s="139" t="str">
        <f>IF(E24="","",VLOOKUP('Opći dio'!$C$3,'Opći dio'!$L$6:$U$136,9,FALSE))</f>
        <v/>
      </c>
      <c r="C24" s="187" t="str">
        <f t="shared" si="3"/>
        <v/>
      </c>
      <c r="D24" s="138" t="str">
        <f t="shared" si="4"/>
        <v/>
      </c>
      <c r="E24" s="150"/>
      <c r="F24" s="191" t="str">
        <f t="shared" si="5"/>
        <v/>
      </c>
      <c r="G24" s="185"/>
      <c r="H24" s="185"/>
      <c r="I24" s="185"/>
      <c r="K24" s="141" t="str">
        <f t="shared" si="6"/>
        <v/>
      </c>
      <c r="L24" s="141" t="str">
        <f t="shared" si="7"/>
        <v/>
      </c>
      <c r="Q24" s="6">
        <v>632311800</v>
      </c>
      <c r="R24" s="6" t="s">
        <v>247</v>
      </c>
      <c r="S24" s="6">
        <v>51</v>
      </c>
      <c r="T24" s="6" t="s">
        <v>2091</v>
      </c>
      <c r="U24">
        <v>632</v>
      </c>
    </row>
    <row r="25" spans="1:21">
      <c r="A25" s="139" t="str">
        <f>IF(E25="","",VLOOKUP('Opći dio'!$C$3,'Opći dio'!$L$6:$U$136,10,FALSE))</f>
        <v/>
      </c>
      <c r="B25" s="139" t="str">
        <f>IF(E25="","",VLOOKUP('Opći dio'!$C$3,'Opći dio'!$L$6:$U$136,9,FALSE))</f>
        <v/>
      </c>
      <c r="C25" s="187" t="str">
        <f t="shared" si="3"/>
        <v/>
      </c>
      <c r="D25" s="138" t="str">
        <f t="shared" si="4"/>
        <v/>
      </c>
      <c r="E25" s="150"/>
      <c r="F25" s="191" t="str">
        <f t="shared" si="5"/>
        <v/>
      </c>
      <c r="G25" s="185"/>
      <c r="H25" s="185"/>
      <c r="I25" s="185"/>
      <c r="K25" s="141" t="str">
        <f t="shared" si="6"/>
        <v/>
      </c>
      <c r="L25" s="141" t="str">
        <f t="shared" si="7"/>
        <v/>
      </c>
      <c r="Q25" s="6">
        <v>632410552</v>
      </c>
      <c r="R25" s="6" t="s">
        <v>1552</v>
      </c>
      <c r="S25" s="6">
        <v>552</v>
      </c>
      <c r="T25" s="6" t="s">
        <v>1538</v>
      </c>
      <c r="U25">
        <v>632</v>
      </c>
    </row>
    <row r="26" spans="1:21">
      <c r="A26" s="139" t="str">
        <f>IF(E26="","",VLOOKUP('Opći dio'!$C$3,'Opći dio'!$L$6:$U$136,10,FALSE))</f>
        <v/>
      </c>
      <c r="B26" s="139" t="str">
        <f>IF(E26="","",VLOOKUP('Opći dio'!$C$3,'Opći dio'!$L$6:$U$136,9,FALSE))</f>
        <v/>
      </c>
      <c r="C26" s="187" t="str">
        <f t="shared" si="3"/>
        <v/>
      </c>
      <c r="D26" s="138" t="str">
        <f t="shared" si="4"/>
        <v/>
      </c>
      <c r="E26" s="150"/>
      <c r="F26" s="191" t="str">
        <f t="shared" si="5"/>
        <v/>
      </c>
      <c r="G26" s="185"/>
      <c r="H26" s="185"/>
      <c r="I26" s="185"/>
      <c r="K26" s="141" t="str">
        <f t="shared" si="6"/>
        <v/>
      </c>
      <c r="L26" s="141" t="str">
        <f t="shared" si="7"/>
        <v/>
      </c>
      <c r="Q26" s="6">
        <v>632410559</v>
      </c>
      <c r="R26" s="6" t="s">
        <v>1553</v>
      </c>
      <c r="S26" s="6">
        <v>559</v>
      </c>
      <c r="T26" s="6" t="s">
        <v>1539</v>
      </c>
      <c r="U26">
        <v>632</v>
      </c>
    </row>
    <row r="27" spans="1:21">
      <c r="A27" s="139" t="str">
        <f>IF(E27="","",VLOOKUP('Opći dio'!$C$3,'Opći dio'!$L$6:$U$136,10,FALSE))</f>
        <v/>
      </c>
      <c r="B27" s="139" t="str">
        <f>IF(E27="","",VLOOKUP('Opći dio'!$C$3,'Opći dio'!$L$6:$U$136,9,FALSE))</f>
        <v/>
      </c>
      <c r="C27" s="187" t="str">
        <f t="shared" si="3"/>
        <v/>
      </c>
      <c r="D27" s="138" t="str">
        <f t="shared" si="4"/>
        <v/>
      </c>
      <c r="E27" s="150"/>
      <c r="F27" s="191" t="str">
        <f t="shared" si="5"/>
        <v/>
      </c>
      <c r="G27" s="185"/>
      <c r="H27" s="185"/>
      <c r="I27" s="185"/>
      <c r="K27" s="141" t="str">
        <f t="shared" si="6"/>
        <v/>
      </c>
      <c r="L27" s="141" t="str">
        <f t="shared" si="7"/>
        <v/>
      </c>
      <c r="Q27" s="6">
        <v>632410573</v>
      </c>
      <c r="R27" s="6" t="s">
        <v>1554</v>
      </c>
      <c r="S27" s="6">
        <v>573</v>
      </c>
      <c r="T27" s="6" t="s">
        <v>1549</v>
      </c>
      <c r="U27">
        <v>632</v>
      </c>
    </row>
    <row r="28" spans="1:21">
      <c r="A28" s="139" t="str">
        <f>IF(E28="","",VLOOKUP('Opći dio'!$C$3,'Opći dio'!$L$6:$U$136,10,FALSE))</f>
        <v/>
      </c>
      <c r="B28" s="139" t="str">
        <f>IF(E28="","",VLOOKUP('Opći dio'!$C$3,'Opći dio'!$L$6:$U$136,9,FALSE))</f>
        <v/>
      </c>
      <c r="C28" s="187" t="str">
        <f t="shared" si="3"/>
        <v/>
      </c>
      <c r="D28" s="138" t="str">
        <f t="shared" si="4"/>
        <v/>
      </c>
      <c r="E28" s="150"/>
      <c r="F28" s="191" t="str">
        <f t="shared" si="5"/>
        <v/>
      </c>
      <c r="G28" s="185"/>
      <c r="H28" s="185"/>
      <c r="I28" s="185"/>
      <c r="K28" s="141" t="str">
        <f t="shared" si="6"/>
        <v/>
      </c>
      <c r="L28" s="141" t="str">
        <f t="shared" si="7"/>
        <v/>
      </c>
      <c r="Q28" s="6">
        <v>632410575</v>
      </c>
      <c r="R28" s="6" t="s">
        <v>1555</v>
      </c>
      <c r="S28" s="6">
        <v>575</v>
      </c>
      <c r="T28" s="6" t="s">
        <v>1551</v>
      </c>
      <c r="U28">
        <v>632</v>
      </c>
    </row>
    <row r="29" spans="1:21">
      <c r="A29" s="139" t="str">
        <f>IF(E29="","",VLOOKUP('Opći dio'!$C$3,'Opći dio'!$L$6:$U$136,10,FALSE))</f>
        <v/>
      </c>
      <c r="B29" s="139" t="str">
        <f>IF(E29="","",VLOOKUP('Opći dio'!$C$3,'Opći dio'!$L$6:$U$136,9,FALSE))</f>
        <v/>
      </c>
      <c r="C29" s="187" t="str">
        <f t="shared" si="3"/>
        <v/>
      </c>
      <c r="D29" s="138" t="str">
        <f t="shared" si="4"/>
        <v/>
      </c>
      <c r="E29" s="150"/>
      <c r="F29" s="191" t="str">
        <f t="shared" si="5"/>
        <v/>
      </c>
      <c r="G29" s="185"/>
      <c r="H29" s="185"/>
      <c r="I29" s="185"/>
      <c r="K29" s="141" t="str">
        <f t="shared" si="6"/>
        <v/>
      </c>
      <c r="L29" s="141" t="str">
        <f t="shared" si="7"/>
        <v/>
      </c>
      <c r="Q29" s="6">
        <v>632410576</v>
      </c>
      <c r="R29" s="6" t="s">
        <v>2129</v>
      </c>
      <c r="S29" s="6">
        <v>576</v>
      </c>
      <c r="T29" s="6" t="s">
        <v>2128</v>
      </c>
      <c r="U29">
        <v>632</v>
      </c>
    </row>
    <row r="30" spans="1:21">
      <c r="A30" s="139" t="str">
        <f>IF(E30="","",VLOOKUP('Opći dio'!$C$3,'Opći dio'!$L$6:$U$136,10,FALSE))</f>
        <v/>
      </c>
      <c r="B30" s="139" t="str">
        <f>IF(E30="","",VLOOKUP('Opći dio'!$C$3,'Opći dio'!$L$6:$U$136,9,FALSE))</f>
        <v/>
      </c>
      <c r="C30" s="187" t="str">
        <f t="shared" si="3"/>
        <v/>
      </c>
      <c r="D30" s="138" t="str">
        <f t="shared" si="4"/>
        <v/>
      </c>
      <c r="E30" s="150"/>
      <c r="F30" s="191" t="str">
        <f t="shared" si="5"/>
        <v/>
      </c>
      <c r="G30" s="185"/>
      <c r="H30" s="185"/>
      <c r="I30" s="185"/>
      <c r="K30" s="141" t="str">
        <f t="shared" si="6"/>
        <v/>
      </c>
      <c r="L30" s="141" t="str">
        <f t="shared" si="7"/>
        <v/>
      </c>
      <c r="Q30" s="6">
        <v>632411700</v>
      </c>
      <c r="R30" s="6" t="s">
        <v>24</v>
      </c>
      <c r="S30" s="6">
        <v>51</v>
      </c>
      <c r="T30" s="6" t="s">
        <v>2091</v>
      </c>
      <c r="U30">
        <v>632</v>
      </c>
    </row>
    <row r="31" spans="1:21">
      <c r="A31" s="139" t="str">
        <f>IF(E31="","",VLOOKUP('Opći dio'!$C$3,'Opći dio'!$L$6:$U$136,10,FALSE))</f>
        <v/>
      </c>
      <c r="B31" s="139" t="str">
        <f>IF(E31="","",VLOOKUP('Opći dio'!$C$3,'Opći dio'!$L$6:$U$136,9,FALSE))</f>
        <v/>
      </c>
      <c r="C31" s="187" t="str">
        <f t="shared" si="3"/>
        <v/>
      </c>
      <c r="D31" s="138" t="str">
        <f t="shared" si="4"/>
        <v/>
      </c>
      <c r="E31" s="150"/>
      <c r="F31" s="191" t="str">
        <f t="shared" si="5"/>
        <v/>
      </c>
      <c r="G31" s="185"/>
      <c r="H31" s="185"/>
      <c r="I31" s="185"/>
      <c r="K31" s="141" t="str">
        <f t="shared" si="6"/>
        <v/>
      </c>
      <c r="L31" s="141" t="str">
        <f t="shared" si="7"/>
        <v/>
      </c>
      <c r="Q31" s="6">
        <v>6341</v>
      </c>
      <c r="R31" s="6" t="s">
        <v>2131</v>
      </c>
      <c r="S31" s="6">
        <v>52</v>
      </c>
      <c r="T31" s="6" t="s">
        <v>2088</v>
      </c>
      <c r="U31">
        <v>634</v>
      </c>
    </row>
    <row r="32" spans="1:21">
      <c r="A32" s="139" t="str">
        <f>IF(E32="","",VLOOKUP('Opći dio'!$C$3,'Opći dio'!$L$6:$U$136,10,FALSE))</f>
        <v/>
      </c>
      <c r="B32" s="139" t="str">
        <f>IF(E32="","",VLOOKUP('Opći dio'!$C$3,'Opći dio'!$L$6:$U$136,9,FALSE))</f>
        <v/>
      </c>
      <c r="C32" s="187" t="str">
        <f t="shared" si="3"/>
        <v/>
      </c>
      <c r="D32" s="138" t="str">
        <f t="shared" si="4"/>
        <v/>
      </c>
      <c r="E32" s="150"/>
      <c r="F32" s="191" t="str">
        <f t="shared" si="5"/>
        <v/>
      </c>
      <c r="G32" s="185"/>
      <c r="H32" s="185"/>
      <c r="I32" s="185"/>
      <c r="K32" s="141" t="str">
        <f t="shared" si="6"/>
        <v/>
      </c>
      <c r="L32" s="141" t="str">
        <f t="shared" si="7"/>
        <v/>
      </c>
      <c r="Q32" s="6">
        <v>6342</v>
      </c>
      <c r="R32" s="6" t="s">
        <v>2132</v>
      </c>
      <c r="S32" s="6">
        <v>52</v>
      </c>
      <c r="T32" s="6" t="s">
        <v>2088</v>
      </c>
      <c r="U32">
        <v>634</v>
      </c>
    </row>
    <row r="33" spans="1:21">
      <c r="A33" s="139" t="str">
        <f>IF(E33="","",VLOOKUP('Opći dio'!$C$3,'Opći dio'!$L$6:$U$136,10,FALSE))</f>
        <v/>
      </c>
      <c r="B33" s="139" t="str">
        <f>IF(E33="","",VLOOKUP('Opći dio'!$C$3,'Opći dio'!$L$6:$U$136,9,FALSE))</f>
        <v/>
      </c>
      <c r="C33" s="187" t="str">
        <f t="shared" si="3"/>
        <v/>
      </c>
      <c r="D33" s="138" t="str">
        <f t="shared" si="4"/>
        <v/>
      </c>
      <c r="E33" s="150"/>
      <c r="F33" s="191" t="str">
        <f t="shared" si="5"/>
        <v/>
      </c>
      <c r="G33" s="185"/>
      <c r="H33" s="185"/>
      <c r="I33" s="185"/>
      <c r="K33" s="141" t="str">
        <f t="shared" si="6"/>
        <v/>
      </c>
      <c r="L33" s="141" t="str">
        <f t="shared" si="7"/>
        <v/>
      </c>
      <c r="Q33" s="6">
        <v>636130000</v>
      </c>
      <c r="R33" s="6" t="s">
        <v>2092</v>
      </c>
      <c r="S33" s="6">
        <v>52</v>
      </c>
      <c r="T33" s="6" t="s">
        <v>2088</v>
      </c>
      <c r="U33">
        <v>636</v>
      </c>
    </row>
    <row r="34" spans="1:21">
      <c r="A34" s="139" t="str">
        <f>IF(E34="","",VLOOKUP('Opći dio'!$C$3,'Opći dio'!$L$6:$U$136,10,FALSE))</f>
        <v/>
      </c>
      <c r="B34" s="139" t="str">
        <f>IF(E34="","",VLOOKUP('Opći dio'!$C$3,'Opći dio'!$L$6:$U$136,9,FALSE))</f>
        <v/>
      </c>
      <c r="C34" s="187" t="str">
        <f t="shared" si="3"/>
        <v/>
      </c>
      <c r="D34" s="138" t="str">
        <f t="shared" si="4"/>
        <v/>
      </c>
      <c r="E34" s="150"/>
      <c r="F34" s="191" t="str">
        <f t="shared" si="5"/>
        <v/>
      </c>
      <c r="G34" s="185"/>
      <c r="H34" s="185"/>
      <c r="I34" s="185"/>
      <c r="K34" s="141" t="str">
        <f t="shared" si="6"/>
        <v/>
      </c>
      <c r="L34" s="141" t="str">
        <f t="shared" si="7"/>
        <v/>
      </c>
      <c r="Q34" s="6">
        <v>636230000</v>
      </c>
      <c r="R34" s="6" t="s">
        <v>2093</v>
      </c>
      <c r="S34" s="6">
        <v>52</v>
      </c>
      <c r="T34" s="6" t="s">
        <v>2088</v>
      </c>
      <c r="U34">
        <v>636</v>
      </c>
    </row>
    <row r="35" spans="1:21">
      <c r="A35" s="139" t="str">
        <f>IF(E35="","",VLOOKUP('Opći dio'!$C$3,'Opći dio'!$L$6:$U$136,10,FALSE))</f>
        <v/>
      </c>
      <c r="B35" s="139" t="str">
        <f>IF(E35="","",VLOOKUP('Opći dio'!$C$3,'Opći dio'!$L$6:$U$136,9,FALSE))</f>
        <v/>
      </c>
      <c r="C35" s="187" t="str">
        <f t="shared" si="3"/>
        <v/>
      </c>
      <c r="D35" s="138" t="str">
        <f t="shared" si="4"/>
        <v/>
      </c>
      <c r="E35" s="150"/>
      <c r="F35" s="191" t="str">
        <f t="shared" si="5"/>
        <v/>
      </c>
      <c r="G35" s="185"/>
      <c r="H35" s="185"/>
      <c r="I35" s="185"/>
      <c r="K35" s="141" t="str">
        <f t="shared" si="6"/>
        <v/>
      </c>
      <c r="L35" s="141" t="str">
        <f t="shared" si="7"/>
        <v/>
      </c>
      <c r="Q35" s="6">
        <v>638120000</v>
      </c>
      <c r="R35" s="6" t="s">
        <v>2094</v>
      </c>
      <c r="S35" s="6">
        <v>52</v>
      </c>
      <c r="T35" s="6" t="s">
        <v>2088</v>
      </c>
      <c r="U35">
        <v>638</v>
      </c>
    </row>
    <row r="36" spans="1:21">
      <c r="A36" s="139" t="str">
        <f>IF(E36="","",VLOOKUP('Opći dio'!$C$3,'Opći dio'!$L$6:$U$136,10,FALSE))</f>
        <v/>
      </c>
      <c r="B36" s="139" t="str">
        <f>IF(E36="","",VLOOKUP('Opći dio'!$C$3,'Opći dio'!$L$6:$U$136,9,FALSE))</f>
        <v/>
      </c>
      <c r="C36" s="187" t="str">
        <f t="shared" si="3"/>
        <v/>
      </c>
      <c r="D36" s="138" t="str">
        <f t="shared" si="4"/>
        <v/>
      </c>
      <c r="E36" s="150"/>
      <c r="F36" s="191" t="str">
        <f t="shared" si="5"/>
        <v/>
      </c>
      <c r="G36" s="185"/>
      <c r="H36" s="185"/>
      <c r="I36" s="185"/>
      <c r="K36" s="141" t="str">
        <f t="shared" si="6"/>
        <v/>
      </c>
      <c r="L36" s="141" t="str">
        <f t="shared" si="7"/>
        <v/>
      </c>
      <c r="Q36" s="6">
        <v>638130000</v>
      </c>
      <c r="R36" s="6" t="s">
        <v>2095</v>
      </c>
      <c r="S36" s="6">
        <v>52</v>
      </c>
      <c r="T36" s="6" t="s">
        <v>2088</v>
      </c>
      <c r="U36">
        <v>638</v>
      </c>
    </row>
    <row r="37" spans="1:21">
      <c r="A37" s="139" t="str">
        <f>IF(E37="","",VLOOKUP('Opći dio'!$C$3,'Opći dio'!$L$6:$U$136,10,FALSE))</f>
        <v/>
      </c>
      <c r="B37" s="139" t="str">
        <f>IF(E37="","",VLOOKUP('Opći dio'!$C$3,'Opći dio'!$L$6:$U$136,9,FALSE))</f>
        <v/>
      </c>
      <c r="C37" s="187" t="str">
        <f t="shared" si="3"/>
        <v/>
      </c>
      <c r="D37" s="138" t="str">
        <f t="shared" si="4"/>
        <v/>
      </c>
      <c r="E37" s="150"/>
      <c r="F37" s="191" t="str">
        <f t="shared" si="5"/>
        <v/>
      </c>
      <c r="G37" s="185"/>
      <c r="H37" s="185"/>
      <c r="I37" s="185"/>
      <c r="K37" s="141" t="str">
        <f t="shared" si="6"/>
        <v/>
      </c>
      <c r="L37" s="141" t="str">
        <f t="shared" si="7"/>
        <v/>
      </c>
      <c r="Q37" s="6">
        <v>638140000</v>
      </c>
      <c r="R37" s="6" t="s">
        <v>2096</v>
      </c>
      <c r="S37" s="6">
        <v>52</v>
      </c>
      <c r="T37" s="6" t="s">
        <v>2088</v>
      </c>
      <c r="U37">
        <v>638</v>
      </c>
    </row>
    <row r="38" spans="1:21">
      <c r="A38" s="139" t="str">
        <f>IF(E38="","",VLOOKUP('Opći dio'!$C$3,'Opći dio'!$L$6:$U$136,10,FALSE))</f>
        <v/>
      </c>
      <c r="B38" s="139" t="str">
        <f>IF(E38="","",VLOOKUP('Opći dio'!$C$3,'Opći dio'!$L$6:$U$136,9,FALSE))</f>
        <v/>
      </c>
      <c r="C38" s="187" t="str">
        <f t="shared" si="3"/>
        <v/>
      </c>
      <c r="D38" s="138" t="str">
        <f t="shared" si="4"/>
        <v/>
      </c>
      <c r="E38" s="150"/>
      <c r="F38" s="191" t="str">
        <f t="shared" si="5"/>
        <v/>
      </c>
      <c r="G38" s="185"/>
      <c r="H38" s="185"/>
      <c r="I38" s="185"/>
      <c r="K38" s="141" t="str">
        <f t="shared" si="6"/>
        <v/>
      </c>
      <c r="L38" s="141" t="str">
        <f t="shared" si="7"/>
        <v/>
      </c>
      <c r="Q38" s="6">
        <v>638220000</v>
      </c>
      <c r="R38" s="6" t="s">
        <v>2097</v>
      </c>
      <c r="S38" s="6">
        <v>52</v>
      </c>
      <c r="T38" s="6" t="s">
        <v>2088</v>
      </c>
      <c r="U38">
        <v>638</v>
      </c>
    </row>
    <row r="39" spans="1:21">
      <c r="A39" s="139" t="str">
        <f>IF(E39="","",VLOOKUP('Opći dio'!$C$3,'Opći dio'!$L$6:$U$136,10,FALSE))</f>
        <v/>
      </c>
      <c r="B39" s="139" t="str">
        <f>IF(E39="","",VLOOKUP('Opći dio'!$C$3,'Opći dio'!$L$6:$U$136,9,FALSE))</f>
        <v/>
      </c>
      <c r="C39" s="187" t="str">
        <f t="shared" si="3"/>
        <v/>
      </c>
      <c r="D39" s="138" t="str">
        <f t="shared" si="4"/>
        <v/>
      </c>
      <c r="E39" s="150"/>
      <c r="F39" s="191" t="str">
        <f t="shared" si="5"/>
        <v/>
      </c>
      <c r="G39" s="185"/>
      <c r="H39" s="185"/>
      <c r="I39" s="185"/>
      <c r="K39" s="141" t="str">
        <f t="shared" si="6"/>
        <v/>
      </c>
      <c r="L39" s="141" t="str">
        <f t="shared" si="7"/>
        <v/>
      </c>
      <c r="Q39" s="6">
        <v>638230000</v>
      </c>
      <c r="R39" s="6" t="s">
        <v>2098</v>
      </c>
      <c r="S39" s="6">
        <v>52</v>
      </c>
      <c r="T39" s="6" t="s">
        <v>2088</v>
      </c>
      <c r="U39">
        <v>638</v>
      </c>
    </row>
    <row r="40" spans="1:21">
      <c r="A40" s="139" t="str">
        <f>IF(E40="","",VLOOKUP('Opći dio'!$C$3,'Opći dio'!$L$6:$U$136,10,FALSE))</f>
        <v/>
      </c>
      <c r="B40" s="139" t="str">
        <f>IF(E40="","",VLOOKUP('Opći dio'!$C$3,'Opći dio'!$L$6:$U$136,9,FALSE))</f>
        <v/>
      </c>
      <c r="C40" s="187" t="str">
        <f t="shared" si="3"/>
        <v/>
      </c>
      <c r="D40" s="138" t="str">
        <f t="shared" si="4"/>
        <v/>
      </c>
      <c r="E40" s="150"/>
      <c r="F40" s="191" t="str">
        <f t="shared" si="5"/>
        <v/>
      </c>
      <c r="G40" s="185"/>
      <c r="H40" s="185"/>
      <c r="I40" s="185"/>
      <c r="K40" s="141" t="str">
        <f t="shared" si="6"/>
        <v/>
      </c>
      <c r="L40" s="141" t="str">
        <f t="shared" si="7"/>
        <v/>
      </c>
      <c r="Q40" s="6">
        <v>638240000</v>
      </c>
      <c r="R40" s="6" t="s">
        <v>2099</v>
      </c>
      <c r="S40" s="6">
        <v>52</v>
      </c>
      <c r="T40" s="6" t="s">
        <v>2088</v>
      </c>
      <c r="U40">
        <v>638</v>
      </c>
    </row>
    <row r="41" spans="1:21">
      <c r="A41" s="139" t="str">
        <f>IF(E41="","",VLOOKUP('Opći dio'!$C$3,'Opći dio'!$L$6:$U$136,10,FALSE))</f>
        <v/>
      </c>
      <c r="B41" s="139" t="str">
        <f>IF(E41="","",VLOOKUP('Opći dio'!$C$3,'Opći dio'!$L$6:$U$136,9,FALSE))</f>
        <v/>
      </c>
      <c r="C41" s="187" t="str">
        <f t="shared" si="3"/>
        <v/>
      </c>
      <c r="D41" s="138" t="str">
        <f t="shared" si="4"/>
        <v/>
      </c>
      <c r="E41" s="150"/>
      <c r="F41" s="191" t="str">
        <f t="shared" si="5"/>
        <v/>
      </c>
      <c r="G41" s="185"/>
      <c r="H41" s="185"/>
      <c r="I41" s="185"/>
      <c r="K41" s="141" t="str">
        <f t="shared" si="6"/>
        <v/>
      </c>
      <c r="L41" s="141" t="str">
        <f t="shared" si="7"/>
        <v/>
      </c>
      <c r="Q41" s="6">
        <v>639110000</v>
      </c>
      <c r="R41" s="6" t="s">
        <v>31</v>
      </c>
      <c r="S41" s="6">
        <v>52</v>
      </c>
      <c r="T41" s="6" t="s">
        <v>2088</v>
      </c>
      <c r="U41">
        <v>639</v>
      </c>
    </row>
    <row r="42" spans="1:21">
      <c r="A42" s="139" t="str">
        <f>IF(E42="","",VLOOKUP('Opći dio'!$C$3,'Opći dio'!$L$6:$U$136,10,FALSE))</f>
        <v/>
      </c>
      <c r="B42" s="139" t="str">
        <f>IF(E42="","",VLOOKUP('Opći dio'!$C$3,'Opći dio'!$L$6:$U$136,9,FALSE))</f>
        <v/>
      </c>
      <c r="C42" s="187" t="str">
        <f t="shared" si="3"/>
        <v/>
      </c>
      <c r="D42" s="138" t="str">
        <f t="shared" si="4"/>
        <v/>
      </c>
      <c r="E42" s="150"/>
      <c r="F42" s="191" t="str">
        <f t="shared" si="5"/>
        <v/>
      </c>
      <c r="G42" s="185"/>
      <c r="H42" s="185"/>
      <c r="I42" s="185"/>
      <c r="K42" s="141" t="str">
        <f>LEFT(E42,3)</f>
        <v/>
      </c>
      <c r="L42" s="141" t="str">
        <f>LEFT(E42,2)</f>
        <v/>
      </c>
      <c r="Q42" s="6">
        <v>639210000</v>
      </c>
      <c r="R42" s="6" t="s">
        <v>32</v>
      </c>
      <c r="S42" s="6">
        <v>52</v>
      </c>
      <c r="T42" s="6" t="s">
        <v>2088</v>
      </c>
      <c r="U42">
        <v>639</v>
      </c>
    </row>
    <row r="43" spans="1:21">
      <c r="A43" s="139" t="str">
        <f>IF(E43="","",VLOOKUP('Opći dio'!$C$3,'Opći dio'!$L$6:$U$136,10,FALSE))</f>
        <v/>
      </c>
      <c r="B43" s="139" t="str">
        <f>IF(E43="","",VLOOKUP('Opći dio'!$C$3,'Opći dio'!$L$6:$U$136,9,FALSE))</f>
        <v/>
      </c>
      <c r="C43" s="187" t="str">
        <f t="shared" si="3"/>
        <v/>
      </c>
      <c r="D43" s="138" t="str">
        <f t="shared" si="4"/>
        <v/>
      </c>
      <c r="E43" s="150"/>
      <c r="F43" s="191" t="str">
        <f t="shared" si="5"/>
        <v/>
      </c>
      <c r="G43" s="185"/>
      <c r="H43" s="185"/>
      <c r="I43" s="185"/>
      <c r="K43" s="141" t="str">
        <f t="shared" si="6"/>
        <v/>
      </c>
      <c r="L43" s="141" t="str">
        <f t="shared" si="7"/>
        <v/>
      </c>
      <c r="Q43" s="6">
        <v>639310000</v>
      </c>
      <c r="R43" s="6" t="s">
        <v>33</v>
      </c>
      <c r="S43" s="6">
        <v>52</v>
      </c>
      <c r="T43" s="6" t="s">
        <v>2088</v>
      </c>
      <c r="U43">
        <v>639</v>
      </c>
    </row>
    <row r="44" spans="1:21">
      <c r="A44" s="139" t="str">
        <f>IF(E44="","",VLOOKUP('Opći dio'!$C$3,'Opći dio'!$L$6:$U$136,10,FALSE))</f>
        <v/>
      </c>
      <c r="B44" s="139" t="str">
        <f>IF(E44="","",VLOOKUP('Opći dio'!$C$3,'Opći dio'!$L$6:$U$136,9,FALSE))</f>
        <v/>
      </c>
      <c r="C44" s="187" t="str">
        <f t="shared" si="3"/>
        <v/>
      </c>
      <c r="D44" s="138" t="str">
        <f t="shared" si="4"/>
        <v/>
      </c>
      <c r="E44" s="150"/>
      <c r="F44" s="191" t="str">
        <f t="shared" si="5"/>
        <v/>
      </c>
      <c r="G44" s="185"/>
      <c r="H44" s="185"/>
      <c r="I44" s="185"/>
      <c r="K44" s="141" t="str">
        <f t="shared" si="6"/>
        <v/>
      </c>
      <c r="L44" s="141" t="str">
        <f t="shared" si="7"/>
        <v/>
      </c>
      <c r="Q44" s="6">
        <v>639410000</v>
      </c>
      <c r="R44" s="6" t="s">
        <v>34</v>
      </c>
      <c r="S44" s="6">
        <v>52</v>
      </c>
      <c r="T44" s="6" t="s">
        <v>2088</v>
      </c>
      <c r="U44">
        <v>639</v>
      </c>
    </row>
    <row r="45" spans="1:21">
      <c r="A45" s="139" t="str">
        <f>IF(E45="","",VLOOKUP('Opći dio'!$C$3,'Opći dio'!$L$6:$U$136,10,FALSE))</f>
        <v/>
      </c>
      <c r="B45" s="139" t="str">
        <f>IF(E45="","",VLOOKUP('Opći dio'!$C$3,'Opći dio'!$L$6:$U$136,9,FALSE))</f>
        <v/>
      </c>
      <c r="C45" s="187" t="str">
        <f t="shared" si="3"/>
        <v/>
      </c>
      <c r="D45" s="138" t="str">
        <f t="shared" si="4"/>
        <v/>
      </c>
      <c r="E45" s="150"/>
      <c r="F45" s="191" t="str">
        <f t="shared" si="5"/>
        <v/>
      </c>
      <c r="G45" s="185"/>
      <c r="H45" s="185"/>
      <c r="I45" s="185"/>
      <c r="K45" s="141" t="str">
        <f t="shared" si="6"/>
        <v/>
      </c>
      <c r="L45" s="141" t="str">
        <f t="shared" si="7"/>
        <v/>
      </c>
      <c r="Q45" s="6">
        <v>641290031</v>
      </c>
      <c r="R45" s="6" t="s">
        <v>236</v>
      </c>
      <c r="S45" s="6">
        <v>31</v>
      </c>
      <c r="T45" s="6" t="s">
        <v>98</v>
      </c>
      <c r="U45">
        <v>641</v>
      </c>
    </row>
    <row r="46" spans="1:21">
      <c r="A46" s="139" t="str">
        <f>IF(E46="","",VLOOKUP('Opći dio'!$C$3,'Opći dio'!$L$6:$U$136,10,FALSE))</f>
        <v/>
      </c>
      <c r="B46" s="139" t="str">
        <f>IF(E46="","",VLOOKUP('Opći dio'!$C$3,'Opći dio'!$L$6:$U$136,9,FALSE))</f>
        <v/>
      </c>
      <c r="C46" s="187" t="str">
        <f t="shared" si="3"/>
        <v/>
      </c>
      <c r="D46" s="138" t="str">
        <f t="shared" si="4"/>
        <v/>
      </c>
      <c r="E46" s="150"/>
      <c r="F46" s="191" t="str">
        <f t="shared" si="5"/>
        <v/>
      </c>
      <c r="G46" s="185"/>
      <c r="H46" s="185"/>
      <c r="I46" s="185"/>
      <c r="K46" s="141" t="str">
        <f t="shared" si="6"/>
        <v/>
      </c>
      <c r="L46" s="141" t="str">
        <f t="shared" si="7"/>
        <v/>
      </c>
      <c r="Q46" s="6">
        <v>641310031</v>
      </c>
      <c r="R46" s="6" t="s">
        <v>237</v>
      </c>
      <c r="S46" s="6">
        <v>31</v>
      </c>
      <c r="T46" s="6" t="s">
        <v>98</v>
      </c>
      <c r="U46">
        <v>641</v>
      </c>
    </row>
    <row r="47" spans="1:21">
      <c r="A47" s="139" t="str">
        <f>IF(E47="","",VLOOKUP('Opći dio'!$C$3,'Opći dio'!$L$6:$U$136,10,FALSE))</f>
        <v/>
      </c>
      <c r="B47" s="139" t="str">
        <f>IF(E47="","",VLOOKUP('Opći dio'!$C$3,'Opći dio'!$L$6:$U$136,9,FALSE))</f>
        <v/>
      </c>
      <c r="C47" s="187" t="str">
        <f t="shared" si="3"/>
        <v/>
      </c>
      <c r="D47" s="138" t="str">
        <f t="shared" si="4"/>
        <v/>
      </c>
      <c r="E47" s="150"/>
      <c r="F47" s="191" t="str">
        <f t="shared" si="5"/>
        <v/>
      </c>
      <c r="G47" s="185"/>
      <c r="H47" s="185"/>
      <c r="I47" s="185"/>
      <c r="K47" s="141" t="str">
        <f t="shared" si="6"/>
        <v/>
      </c>
      <c r="L47" s="141" t="str">
        <f t="shared" si="7"/>
        <v/>
      </c>
      <c r="Q47" s="6">
        <v>641320031</v>
      </c>
      <c r="R47" s="6" t="s">
        <v>238</v>
      </c>
      <c r="S47" s="6">
        <v>31</v>
      </c>
      <c r="T47" s="6" t="s">
        <v>98</v>
      </c>
      <c r="U47">
        <v>641</v>
      </c>
    </row>
    <row r="48" spans="1:21">
      <c r="A48" s="139" t="str">
        <f>IF(E48="","",VLOOKUP('Opći dio'!$C$3,'Opći dio'!$L$6:$U$136,10,FALSE))</f>
        <v/>
      </c>
      <c r="B48" s="139" t="str">
        <f>IF(E48="","",VLOOKUP('Opći dio'!$C$3,'Opći dio'!$L$6:$U$136,9,FALSE))</f>
        <v/>
      </c>
      <c r="C48" s="187" t="str">
        <f t="shared" si="3"/>
        <v/>
      </c>
      <c r="D48" s="138" t="str">
        <f t="shared" si="4"/>
        <v/>
      </c>
      <c r="E48" s="150"/>
      <c r="F48" s="191" t="str">
        <f t="shared" si="5"/>
        <v/>
      </c>
      <c r="G48" s="185"/>
      <c r="H48" s="185"/>
      <c r="I48" s="185"/>
      <c r="K48" s="141" t="str">
        <f t="shared" si="6"/>
        <v/>
      </c>
      <c r="L48" s="141" t="str">
        <f t="shared" si="7"/>
        <v/>
      </c>
      <c r="Q48" s="6">
        <v>641320043</v>
      </c>
      <c r="R48" s="6" t="s">
        <v>2100</v>
      </c>
      <c r="S48" s="6">
        <v>43</v>
      </c>
      <c r="T48" s="6" t="s">
        <v>103</v>
      </c>
      <c r="U48">
        <v>641</v>
      </c>
    </row>
    <row r="49" spans="1:21">
      <c r="A49" s="139" t="str">
        <f>IF(E49="","",VLOOKUP('Opći dio'!$C$3,'Opći dio'!$L$6:$U$136,10,FALSE))</f>
        <v/>
      </c>
      <c r="B49" s="139" t="str">
        <f>IF(E49="","",VLOOKUP('Opći dio'!$C$3,'Opći dio'!$L$6:$U$136,9,FALSE))</f>
        <v/>
      </c>
      <c r="C49" s="187" t="str">
        <f t="shared" si="3"/>
        <v/>
      </c>
      <c r="D49" s="138" t="str">
        <f t="shared" si="4"/>
        <v/>
      </c>
      <c r="E49" s="150"/>
      <c r="F49" s="191" t="str">
        <f t="shared" si="5"/>
        <v/>
      </c>
      <c r="G49" s="185"/>
      <c r="H49" s="185"/>
      <c r="I49" s="185"/>
      <c r="K49" s="141" t="str">
        <f t="shared" si="6"/>
        <v/>
      </c>
      <c r="L49" s="141" t="str">
        <f t="shared" si="7"/>
        <v/>
      </c>
      <c r="Q49" s="6">
        <v>641510031</v>
      </c>
      <c r="R49" s="6" t="s">
        <v>2101</v>
      </c>
      <c r="S49" s="6">
        <v>31</v>
      </c>
      <c r="T49" s="6" t="s">
        <v>98</v>
      </c>
      <c r="U49">
        <v>641</v>
      </c>
    </row>
    <row r="50" spans="1:21">
      <c r="A50" s="139" t="str">
        <f>IF(E50="","",VLOOKUP('Opći dio'!$C$3,'Opći dio'!$L$6:$U$136,10,FALSE))</f>
        <v/>
      </c>
      <c r="B50" s="139" t="str">
        <f>IF(E50="","",VLOOKUP('Opći dio'!$C$3,'Opći dio'!$L$6:$U$136,9,FALSE))</f>
        <v/>
      </c>
      <c r="C50" s="187" t="str">
        <f t="shared" si="3"/>
        <v/>
      </c>
      <c r="D50" s="138" t="str">
        <f t="shared" si="4"/>
        <v/>
      </c>
      <c r="E50" s="150"/>
      <c r="F50" s="191" t="str">
        <f t="shared" si="5"/>
        <v/>
      </c>
      <c r="G50" s="185"/>
      <c r="H50" s="185"/>
      <c r="I50" s="185"/>
      <c r="K50" s="141" t="str">
        <f t="shared" si="6"/>
        <v/>
      </c>
      <c r="L50" s="141" t="str">
        <f t="shared" si="7"/>
        <v/>
      </c>
      <c r="Q50" s="6">
        <v>641510043</v>
      </c>
      <c r="R50" s="6" t="s">
        <v>2102</v>
      </c>
      <c r="S50" s="6">
        <v>43</v>
      </c>
      <c r="T50" s="6" t="s">
        <v>103</v>
      </c>
      <c r="U50">
        <v>641</v>
      </c>
    </row>
    <row r="51" spans="1:21">
      <c r="A51" s="139" t="str">
        <f>IF(E51="","",VLOOKUP('Opći dio'!$C$3,'Opći dio'!$L$6:$U$136,10,FALSE))</f>
        <v/>
      </c>
      <c r="B51" s="139" t="str">
        <f>IF(E51="","",VLOOKUP('Opći dio'!$C$3,'Opći dio'!$L$6:$U$136,9,FALSE))</f>
        <v/>
      </c>
      <c r="C51" s="187" t="str">
        <f t="shared" si="3"/>
        <v/>
      </c>
      <c r="D51" s="138" t="str">
        <f t="shared" si="4"/>
        <v/>
      </c>
      <c r="E51" s="150"/>
      <c r="F51" s="191" t="str">
        <f t="shared" si="5"/>
        <v/>
      </c>
      <c r="G51" s="185"/>
      <c r="H51" s="185"/>
      <c r="I51" s="185"/>
      <c r="K51" s="141" t="str">
        <f t="shared" si="6"/>
        <v/>
      </c>
      <c r="L51" s="141" t="str">
        <f t="shared" si="7"/>
        <v/>
      </c>
      <c r="Q51" s="6">
        <v>641630031</v>
      </c>
      <c r="R51" s="6" t="s">
        <v>239</v>
      </c>
      <c r="S51" s="6">
        <v>31</v>
      </c>
      <c r="T51" s="6" t="s">
        <v>98</v>
      </c>
      <c r="U51">
        <v>641</v>
      </c>
    </row>
    <row r="52" spans="1:21">
      <c r="A52" s="139" t="str">
        <f>IF(E52="","",VLOOKUP('Opći dio'!$C$3,'Opći dio'!$L$6:$U$136,10,FALSE))</f>
        <v/>
      </c>
      <c r="B52" s="139" t="str">
        <f>IF(E52="","",VLOOKUP('Opći dio'!$C$3,'Opći dio'!$L$6:$U$136,9,FALSE))</f>
        <v/>
      </c>
      <c r="C52" s="187" t="str">
        <f t="shared" si="3"/>
        <v/>
      </c>
      <c r="D52" s="138" t="str">
        <f t="shared" si="4"/>
        <v/>
      </c>
      <c r="E52" s="150"/>
      <c r="F52" s="191" t="str">
        <f t="shared" si="5"/>
        <v/>
      </c>
      <c r="G52" s="185"/>
      <c r="H52" s="185"/>
      <c r="I52" s="185"/>
      <c r="K52" s="141" t="str">
        <f t="shared" si="6"/>
        <v/>
      </c>
      <c r="L52" s="141" t="str">
        <f t="shared" si="7"/>
        <v/>
      </c>
      <c r="Q52" s="6">
        <v>641720043</v>
      </c>
      <c r="R52" s="6" t="s">
        <v>242</v>
      </c>
      <c r="S52" s="6">
        <v>43</v>
      </c>
      <c r="T52" s="6" t="s">
        <v>103</v>
      </c>
      <c r="U52">
        <v>641</v>
      </c>
    </row>
    <row r="53" spans="1:21">
      <c r="A53" s="139" t="str">
        <f>IF(E53="","",VLOOKUP('Opći dio'!$C$3,'Opći dio'!$L$6:$U$136,10,FALSE))</f>
        <v/>
      </c>
      <c r="B53" s="139" t="str">
        <f>IF(E53="","",VLOOKUP('Opći dio'!$C$3,'Opći dio'!$L$6:$U$136,9,FALSE))</f>
        <v/>
      </c>
      <c r="C53" s="187" t="str">
        <f t="shared" si="3"/>
        <v/>
      </c>
      <c r="D53" s="138" t="str">
        <f t="shared" si="4"/>
        <v/>
      </c>
      <c r="E53" s="150"/>
      <c r="F53" s="191" t="str">
        <f t="shared" si="5"/>
        <v/>
      </c>
      <c r="G53" s="185"/>
      <c r="H53" s="185"/>
      <c r="I53" s="185"/>
      <c r="K53" s="141" t="str">
        <f t="shared" si="6"/>
        <v/>
      </c>
      <c r="L53" s="141" t="str">
        <f t="shared" si="7"/>
        <v/>
      </c>
      <c r="Q53" s="6">
        <v>641770041</v>
      </c>
      <c r="R53" s="6" t="s">
        <v>1545</v>
      </c>
      <c r="S53" s="6">
        <v>41</v>
      </c>
      <c r="T53" s="6" t="s">
        <v>1537</v>
      </c>
      <c r="U53">
        <v>641</v>
      </c>
    </row>
    <row r="54" spans="1:21">
      <c r="A54" s="139" t="str">
        <f>IF(E54="","",VLOOKUP('Opći dio'!$C$3,'Opći dio'!$L$6:$U$136,10,FALSE))</f>
        <v/>
      </c>
      <c r="B54" s="139" t="str">
        <f>IF(E54="","",VLOOKUP('Opći dio'!$C$3,'Opći dio'!$L$6:$U$136,9,FALSE))</f>
        <v/>
      </c>
      <c r="C54" s="187" t="str">
        <f t="shared" si="3"/>
        <v/>
      </c>
      <c r="D54" s="138" t="str">
        <f t="shared" si="4"/>
        <v/>
      </c>
      <c r="E54" s="150"/>
      <c r="F54" s="191" t="str">
        <f t="shared" si="5"/>
        <v/>
      </c>
      <c r="G54" s="185"/>
      <c r="H54" s="185"/>
      <c r="I54" s="185"/>
      <c r="K54" s="141" t="str">
        <f t="shared" si="6"/>
        <v/>
      </c>
      <c r="L54" s="141" t="str">
        <f t="shared" si="7"/>
        <v/>
      </c>
      <c r="Q54" s="6">
        <v>641990043</v>
      </c>
      <c r="R54" s="6" t="s">
        <v>2103</v>
      </c>
      <c r="S54" s="6">
        <v>43</v>
      </c>
      <c r="T54" s="6" t="s">
        <v>103</v>
      </c>
      <c r="U54">
        <v>641</v>
      </c>
    </row>
    <row r="55" spans="1:21">
      <c r="A55" s="139" t="str">
        <f>IF(E55="","",VLOOKUP('Opći dio'!$C$3,'Opći dio'!$L$6:$U$136,10,FALSE))</f>
        <v/>
      </c>
      <c r="B55" s="139" t="str">
        <f>IF(E55="","",VLOOKUP('Opći dio'!$C$3,'Opći dio'!$L$6:$U$136,9,FALSE))</f>
        <v/>
      </c>
      <c r="C55" s="187" t="str">
        <f t="shared" si="3"/>
        <v/>
      </c>
      <c r="D55" s="138" t="str">
        <f t="shared" si="4"/>
        <v/>
      </c>
      <c r="E55" s="150"/>
      <c r="F55" s="191" t="str">
        <f t="shared" si="5"/>
        <v/>
      </c>
      <c r="G55" s="185"/>
      <c r="H55" s="185"/>
      <c r="I55" s="185"/>
      <c r="K55" s="141" t="str">
        <f t="shared" si="6"/>
        <v/>
      </c>
      <c r="L55" s="141" t="str">
        <f t="shared" si="7"/>
        <v/>
      </c>
      <c r="Q55" s="6">
        <v>642510031</v>
      </c>
      <c r="R55" s="6" t="s">
        <v>240</v>
      </c>
      <c r="S55" s="6">
        <v>31</v>
      </c>
      <c r="T55" s="6" t="s">
        <v>98</v>
      </c>
      <c r="U55">
        <v>642</v>
      </c>
    </row>
    <row r="56" spans="1:21">
      <c r="A56" s="139" t="str">
        <f>IF(E56="","",VLOOKUP('Opći dio'!$C$3,'Opći dio'!$L$6:$U$136,10,FALSE))</f>
        <v/>
      </c>
      <c r="B56" s="139" t="str">
        <f>IF(E56="","",VLOOKUP('Opći dio'!$C$3,'Opći dio'!$L$6:$U$136,9,FALSE))</f>
        <v/>
      </c>
      <c r="C56" s="187" t="str">
        <f t="shared" si="3"/>
        <v/>
      </c>
      <c r="D56" s="138" t="str">
        <f t="shared" si="4"/>
        <v/>
      </c>
      <c r="E56" s="150"/>
      <c r="F56" s="191" t="str">
        <f t="shared" si="5"/>
        <v/>
      </c>
      <c r="G56" s="185"/>
      <c r="H56" s="185"/>
      <c r="I56" s="185"/>
      <c r="K56" s="141" t="str">
        <f t="shared" si="6"/>
        <v/>
      </c>
      <c r="L56" s="141" t="str">
        <f t="shared" si="7"/>
        <v/>
      </c>
      <c r="Q56" s="6">
        <v>642990031</v>
      </c>
      <c r="R56" s="6" t="s">
        <v>241</v>
      </c>
      <c r="S56" s="6">
        <v>31</v>
      </c>
      <c r="T56" s="6" t="s">
        <v>98</v>
      </c>
      <c r="U56">
        <v>642</v>
      </c>
    </row>
    <row r="57" spans="1:21">
      <c r="A57" s="139" t="str">
        <f>IF(E57="","",VLOOKUP('Opći dio'!$C$3,'Opći dio'!$L$6:$U$136,10,FALSE))</f>
        <v/>
      </c>
      <c r="B57" s="139" t="str">
        <f>IF(E57="","",VLOOKUP('Opći dio'!$C$3,'Opći dio'!$L$6:$U$136,9,FALSE))</f>
        <v/>
      </c>
      <c r="C57" s="187" t="str">
        <f t="shared" si="3"/>
        <v/>
      </c>
      <c r="D57" s="138" t="str">
        <f t="shared" si="4"/>
        <v/>
      </c>
      <c r="E57" s="150"/>
      <c r="F57" s="191" t="str">
        <f t="shared" si="5"/>
        <v/>
      </c>
      <c r="G57" s="185"/>
      <c r="H57" s="185"/>
      <c r="I57" s="185"/>
      <c r="K57" s="141" t="str">
        <f t="shared" si="6"/>
        <v/>
      </c>
      <c r="L57" s="141" t="str">
        <f t="shared" si="7"/>
        <v/>
      </c>
      <c r="Q57" s="6">
        <v>651480000</v>
      </c>
      <c r="R57" s="6" t="s">
        <v>22</v>
      </c>
      <c r="S57" s="6">
        <v>43</v>
      </c>
      <c r="T57" s="6" t="s">
        <v>103</v>
      </c>
      <c r="U57">
        <v>651</v>
      </c>
    </row>
    <row r="58" spans="1:21">
      <c r="A58" s="139" t="str">
        <f>IF(E58="","",VLOOKUP('Opći dio'!$C$3,'Opći dio'!$L$6:$U$136,10,FALSE))</f>
        <v/>
      </c>
      <c r="B58" s="139" t="str">
        <f>IF(E58="","",VLOOKUP('Opći dio'!$C$3,'Opći dio'!$L$6:$U$136,9,FALSE))</f>
        <v/>
      </c>
      <c r="C58" s="187" t="str">
        <f t="shared" si="3"/>
        <v/>
      </c>
      <c r="D58" s="138" t="str">
        <f t="shared" si="4"/>
        <v/>
      </c>
      <c r="E58" s="150"/>
      <c r="F58" s="191" t="str">
        <f t="shared" si="5"/>
        <v/>
      </c>
      <c r="G58" s="185"/>
      <c r="H58" s="185"/>
      <c r="I58" s="185"/>
      <c r="K58" s="141" t="str">
        <f t="shared" si="6"/>
        <v/>
      </c>
      <c r="L58" s="141" t="str">
        <f t="shared" si="7"/>
        <v/>
      </c>
      <c r="Q58" s="6">
        <v>652180000</v>
      </c>
      <c r="R58" s="6" t="s">
        <v>2104</v>
      </c>
      <c r="S58" s="6">
        <v>43</v>
      </c>
      <c r="T58" s="6" t="s">
        <v>103</v>
      </c>
      <c r="U58">
        <v>652</v>
      </c>
    </row>
    <row r="59" spans="1:21">
      <c r="A59" s="139" t="str">
        <f>IF(E59="","",VLOOKUP('Opći dio'!$C$3,'Opći dio'!$L$6:$U$136,10,FALSE))</f>
        <v/>
      </c>
      <c r="B59" s="139" t="str">
        <f>IF(E59="","",VLOOKUP('Opći dio'!$C$3,'Opći dio'!$L$6:$U$136,9,FALSE))</f>
        <v/>
      </c>
      <c r="C59" s="187" t="str">
        <f t="shared" si="3"/>
        <v/>
      </c>
      <c r="D59" s="138" t="str">
        <f t="shared" si="4"/>
        <v/>
      </c>
      <c r="E59" s="150"/>
      <c r="F59" s="191" t="str">
        <f t="shared" si="5"/>
        <v/>
      </c>
      <c r="G59" s="185"/>
      <c r="H59" s="185"/>
      <c r="I59" s="185"/>
      <c r="K59" s="141" t="str">
        <f t="shared" si="6"/>
        <v/>
      </c>
      <c r="L59" s="141" t="str">
        <f t="shared" si="7"/>
        <v/>
      </c>
      <c r="Q59" s="6">
        <v>652640000</v>
      </c>
      <c r="R59" s="6" t="s">
        <v>243</v>
      </c>
      <c r="S59" s="6">
        <v>43</v>
      </c>
      <c r="T59" s="6" t="s">
        <v>103</v>
      </c>
      <c r="U59">
        <v>625</v>
      </c>
    </row>
    <row r="60" spans="1:21">
      <c r="A60" s="139" t="str">
        <f>IF(E60="","",VLOOKUP('Opći dio'!$C$3,'Opći dio'!$L$6:$U$136,10,FALSE))</f>
        <v/>
      </c>
      <c r="B60" s="139" t="str">
        <f>IF(E60="","",VLOOKUP('Opći dio'!$C$3,'Opći dio'!$L$6:$U$136,9,FALSE))</f>
        <v/>
      </c>
      <c r="C60" s="187" t="str">
        <f t="shared" si="3"/>
        <v/>
      </c>
      <c r="D60" s="138" t="str">
        <f t="shared" si="4"/>
        <v/>
      </c>
      <c r="E60" s="150"/>
      <c r="F60" s="191" t="str">
        <f t="shared" si="5"/>
        <v/>
      </c>
      <c r="G60" s="185"/>
      <c r="H60" s="185"/>
      <c r="I60" s="185"/>
      <c r="K60" s="141" t="str">
        <f t="shared" si="6"/>
        <v/>
      </c>
      <c r="L60" s="141" t="str">
        <f t="shared" si="7"/>
        <v/>
      </c>
      <c r="Q60" s="6">
        <v>652670043</v>
      </c>
      <c r="R60" s="6" t="s">
        <v>244</v>
      </c>
      <c r="S60" s="6">
        <v>43</v>
      </c>
      <c r="T60" s="6" t="s">
        <v>103</v>
      </c>
      <c r="U60">
        <v>652</v>
      </c>
    </row>
    <row r="61" spans="1:21">
      <c r="A61" s="139" t="str">
        <f>IF(E61="","",VLOOKUP('Opći dio'!$C$3,'Opći dio'!$L$6:$U$136,10,FALSE))</f>
        <v/>
      </c>
      <c r="B61" s="139" t="str">
        <f>IF(E61="","",VLOOKUP('Opći dio'!$C$3,'Opći dio'!$L$6:$U$136,9,FALSE))</f>
        <v/>
      </c>
      <c r="C61" s="187" t="str">
        <f t="shared" si="3"/>
        <v/>
      </c>
      <c r="D61" s="138" t="str">
        <f t="shared" si="4"/>
        <v/>
      </c>
      <c r="E61" s="150"/>
      <c r="F61" s="191" t="str">
        <f t="shared" si="5"/>
        <v/>
      </c>
      <c r="G61" s="185"/>
      <c r="H61" s="185"/>
      <c r="I61" s="185"/>
      <c r="K61" s="141" t="str">
        <f t="shared" si="6"/>
        <v/>
      </c>
      <c r="L61" s="141" t="str">
        <f t="shared" si="7"/>
        <v/>
      </c>
      <c r="Q61" s="6">
        <v>652680000</v>
      </c>
      <c r="R61" s="6" t="s">
        <v>2105</v>
      </c>
      <c r="S61" s="6">
        <v>43</v>
      </c>
      <c r="T61" s="6" t="s">
        <v>103</v>
      </c>
      <c r="U61">
        <v>652</v>
      </c>
    </row>
    <row r="62" spans="1:21">
      <c r="A62" s="139" t="str">
        <f>IF(E62="","",VLOOKUP('Opći dio'!$C$3,'Opći dio'!$L$6:$U$136,10,FALSE))</f>
        <v/>
      </c>
      <c r="B62" s="139" t="str">
        <f>IF(E62="","",VLOOKUP('Opći dio'!$C$3,'Opći dio'!$L$6:$U$136,9,FALSE))</f>
        <v/>
      </c>
      <c r="C62" s="187" t="str">
        <f t="shared" si="3"/>
        <v/>
      </c>
      <c r="D62" s="138" t="str">
        <f t="shared" si="4"/>
        <v/>
      </c>
      <c r="E62" s="150"/>
      <c r="F62" s="191" t="str">
        <f t="shared" si="5"/>
        <v/>
      </c>
      <c r="G62" s="185"/>
      <c r="H62" s="185"/>
      <c r="I62" s="185"/>
      <c r="K62" s="141" t="str">
        <f t="shared" si="6"/>
        <v/>
      </c>
      <c r="L62" s="141" t="str">
        <f t="shared" si="7"/>
        <v/>
      </c>
      <c r="Q62" s="6">
        <v>6614</v>
      </c>
      <c r="R62" s="6" t="s">
        <v>2130</v>
      </c>
      <c r="S62" s="6">
        <v>31</v>
      </c>
      <c r="T62" s="6" t="s">
        <v>98</v>
      </c>
      <c r="U62">
        <v>661</v>
      </c>
    </row>
    <row r="63" spans="1:21">
      <c r="A63" s="139" t="str">
        <f>IF(E63="","",VLOOKUP('Opći dio'!$C$3,'Opći dio'!$L$6:$U$136,10,FALSE))</f>
        <v/>
      </c>
      <c r="B63" s="139" t="str">
        <f>IF(E63="","",VLOOKUP('Opći dio'!$C$3,'Opći dio'!$L$6:$U$136,9,FALSE))</f>
        <v/>
      </c>
      <c r="C63" s="187" t="str">
        <f t="shared" si="3"/>
        <v/>
      </c>
      <c r="D63" s="138" t="str">
        <f t="shared" si="4"/>
        <v/>
      </c>
      <c r="E63" s="150"/>
      <c r="F63" s="191" t="str">
        <f t="shared" si="5"/>
        <v/>
      </c>
      <c r="G63" s="185"/>
      <c r="H63" s="185"/>
      <c r="I63" s="185"/>
      <c r="K63" s="141" t="str">
        <f t="shared" si="6"/>
        <v/>
      </c>
      <c r="L63" s="141" t="str">
        <f t="shared" si="7"/>
        <v/>
      </c>
      <c r="Q63" s="6">
        <v>6615</v>
      </c>
      <c r="R63" s="6" t="s">
        <v>21</v>
      </c>
      <c r="S63" s="6">
        <v>31</v>
      </c>
      <c r="T63" s="6" t="s">
        <v>98</v>
      </c>
      <c r="U63">
        <v>661</v>
      </c>
    </row>
    <row r="64" spans="1:21">
      <c r="A64" s="139" t="str">
        <f>IF(E64="","",VLOOKUP('Opći dio'!$C$3,'Opći dio'!$L$6:$U$136,10,FALSE))</f>
        <v/>
      </c>
      <c r="B64" s="139" t="str">
        <f>IF(E64="","",VLOOKUP('Opći dio'!$C$3,'Opći dio'!$L$6:$U$136,9,FALSE))</f>
        <v/>
      </c>
      <c r="C64" s="187" t="str">
        <f t="shared" si="3"/>
        <v/>
      </c>
      <c r="D64" s="138" t="str">
        <f t="shared" si="4"/>
        <v/>
      </c>
      <c r="E64" s="150"/>
      <c r="F64" s="191" t="str">
        <f t="shared" si="5"/>
        <v/>
      </c>
      <c r="G64" s="185"/>
      <c r="H64" s="185"/>
      <c r="I64" s="185"/>
      <c r="K64" s="141" t="str">
        <f t="shared" si="6"/>
        <v/>
      </c>
      <c r="L64" s="141" t="str">
        <f t="shared" si="7"/>
        <v/>
      </c>
      <c r="Q64" s="6">
        <v>663110000</v>
      </c>
      <c r="R64" s="6" t="s">
        <v>35</v>
      </c>
      <c r="S64" s="6">
        <v>61</v>
      </c>
      <c r="T64" s="6" t="s">
        <v>2106</v>
      </c>
      <c r="U64">
        <v>663</v>
      </c>
    </row>
    <row r="65" spans="1:21">
      <c r="A65" s="139" t="str">
        <f>IF(E65="","",VLOOKUP('Opći dio'!$C$3,'Opći dio'!$L$6:$U$136,10,FALSE))</f>
        <v/>
      </c>
      <c r="B65" s="139" t="str">
        <f>IF(E65="","",VLOOKUP('Opći dio'!$C$3,'Opći dio'!$L$6:$U$136,9,FALSE))</f>
        <v/>
      </c>
      <c r="C65" s="187" t="str">
        <f t="shared" si="3"/>
        <v/>
      </c>
      <c r="D65" s="138" t="str">
        <f t="shared" si="4"/>
        <v/>
      </c>
      <c r="E65" s="150"/>
      <c r="F65" s="191" t="str">
        <f t="shared" si="5"/>
        <v/>
      </c>
      <c r="G65" s="185"/>
      <c r="H65" s="185"/>
      <c r="I65" s="185"/>
      <c r="K65" s="141" t="str">
        <f t="shared" si="6"/>
        <v/>
      </c>
      <c r="L65" s="141" t="str">
        <f t="shared" si="7"/>
        <v/>
      </c>
      <c r="Q65" s="6">
        <v>663120000</v>
      </c>
      <c r="R65" s="6" t="s">
        <v>36</v>
      </c>
      <c r="S65" s="6">
        <v>61</v>
      </c>
      <c r="T65" s="6" t="s">
        <v>2106</v>
      </c>
      <c r="U65">
        <v>663</v>
      </c>
    </row>
    <row r="66" spans="1:21">
      <c r="A66" s="139" t="str">
        <f>IF(E66="","",VLOOKUP('Opći dio'!$C$3,'Opći dio'!$L$6:$U$136,10,FALSE))</f>
        <v/>
      </c>
      <c r="B66" s="139" t="str">
        <f>IF(E66="","",VLOOKUP('Opći dio'!$C$3,'Opći dio'!$L$6:$U$136,9,FALSE))</f>
        <v/>
      </c>
      <c r="C66" s="187" t="str">
        <f t="shared" si="3"/>
        <v/>
      </c>
      <c r="D66" s="138" t="str">
        <f t="shared" si="4"/>
        <v/>
      </c>
      <c r="E66" s="150"/>
      <c r="F66" s="191" t="str">
        <f t="shared" si="5"/>
        <v/>
      </c>
      <c r="G66" s="185"/>
      <c r="H66" s="185"/>
      <c r="I66" s="185"/>
      <c r="K66" s="141" t="str">
        <f t="shared" si="6"/>
        <v/>
      </c>
      <c r="L66" s="141" t="str">
        <f t="shared" si="7"/>
        <v/>
      </c>
      <c r="Q66" s="6">
        <v>663130000</v>
      </c>
      <c r="R66" s="6" t="s">
        <v>37</v>
      </c>
      <c r="S66" s="6">
        <v>61</v>
      </c>
      <c r="T66" s="6" t="s">
        <v>2106</v>
      </c>
      <c r="U66">
        <v>663</v>
      </c>
    </row>
    <row r="67" spans="1:21">
      <c r="A67" s="139" t="str">
        <f>IF(E67="","",VLOOKUP('Opći dio'!$C$3,'Opći dio'!$L$6:$U$136,10,FALSE))</f>
        <v/>
      </c>
      <c r="B67" s="139" t="str">
        <f>IF(E67="","",VLOOKUP('Opći dio'!$C$3,'Opći dio'!$L$6:$U$136,9,FALSE))</f>
        <v/>
      </c>
      <c r="C67" s="187" t="str">
        <f t="shared" si="3"/>
        <v/>
      </c>
      <c r="D67" s="138" t="str">
        <f t="shared" si="4"/>
        <v/>
      </c>
      <c r="E67" s="150"/>
      <c r="F67" s="191" t="str">
        <f t="shared" si="5"/>
        <v/>
      </c>
      <c r="G67" s="185"/>
      <c r="H67" s="185"/>
      <c r="I67" s="185"/>
      <c r="K67" s="141" t="str">
        <f t="shared" si="6"/>
        <v/>
      </c>
      <c r="L67" s="141" t="str">
        <f t="shared" si="7"/>
        <v/>
      </c>
      <c r="Q67" s="6">
        <v>663140000</v>
      </c>
      <c r="R67" s="6" t="s">
        <v>2107</v>
      </c>
      <c r="S67" s="6">
        <v>61</v>
      </c>
      <c r="T67" s="6" t="s">
        <v>2106</v>
      </c>
      <c r="U67">
        <v>663</v>
      </c>
    </row>
    <row r="68" spans="1:21">
      <c r="A68" s="139" t="str">
        <f>IF(E68="","",VLOOKUP('Opći dio'!$C$3,'Opći dio'!$L$6:$U$136,10,FALSE))</f>
        <v/>
      </c>
      <c r="B68" s="139" t="str">
        <f>IF(E68="","",VLOOKUP('Opći dio'!$C$3,'Opći dio'!$L$6:$U$136,9,FALSE))</f>
        <v/>
      </c>
      <c r="C68" s="187" t="str">
        <f t="shared" ref="C68:C131" si="8">IFERROR(VLOOKUP(E68,$Q$6:$T$200,3,FALSE),"")</f>
        <v/>
      </c>
      <c r="D68" s="138" t="str">
        <f t="shared" ref="D68:D131" si="9">IFERROR(VLOOKUP(E68,$Q$6:$T$200,4,FALSE),"")</f>
        <v/>
      </c>
      <c r="E68" s="150"/>
      <c r="F68" s="191" t="str">
        <f t="shared" ref="F68:F131" si="10">IFERROR(VLOOKUP(E68,$Q$6:$T$200,2,FALSE),"")</f>
        <v/>
      </c>
      <c r="G68" s="185"/>
      <c r="H68" s="185"/>
      <c r="I68" s="185"/>
      <c r="K68" s="141" t="str">
        <f t="shared" ref="K68:K131" si="11">LEFT(E68,3)</f>
        <v/>
      </c>
      <c r="L68" s="141" t="str">
        <f t="shared" ref="L68:L131" si="12">LEFT(E68,2)</f>
        <v/>
      </c>
      <c r="Q68" s="6">
        <v>663210000</v>
      </c>
      <c r="R68" s="6" t="s">
        <v>2108</v>
      </c>
      <c r="S68" s="6">
        <v>61</v>
      </c>
      <c r="T68" s="6" t="s">
        <v>2106</v>
      </c>
      <c r="U68">
        <v>663</v>
      </c>
    </row>
    <row r="69" spans="1:21">
      <c r="A69" s="139" t="str">
        <f>IF(E69="","",VLOOKUP('Opći dio'!$C$3,'Opći dio'!$L$6:$U$136,10,FALSE))</f>
        <v/>
      </c>
      <c r="B69" s="139" t="str">
        <f>IF(E69="","",VLOOKUP('Opći dio'!$C$3,'Opći dio'!$L$6:$U$136,9,FALSE))</f>
        <v/>
      </c>
      <c r="C69" s="187" t="str">
        <f t="shared" si="8"/>
        <v/>
      </c>
      <c r="D69" s="138" t="str">
        <f t="shared" si="9"/>
        <v/>
      </c>
      <c r="E69" s="150"/>
      <c r="F69" s="191" t="str">
        <f t="shared" si="10"/>
        <v/>
      </c>
      <c r="G69" s="185"/>
      <c r="H69" s="185"/>
      <c r="I69" s="185"/>
      <c r="K69" s="141" t="str">
        <f t="shared" si="11"/>
        <v/>
      </c>
      <c r="L69" s="141" t="str">
        <f t="shared" si="12"/>
        <v/>
      </c>
      <c r="Q69" s="6">
        <v>663220000</v>
      </c>
      <c r="R69" s="6" t="s">
        <v>38</v>
      </c>
      <c r="S69" s="6">
        <v>61</v>
      </c>
      <c r="T69" s="6" t="s">
        <v>2106</v>
      </c>
      <c r="U69">
        <v>663</v>
      </c>
    </row>
    <row r="70" spans="1:21">
      <c r="A70" s="139" t="str">
        <f>IF(E70="","",VLOOKUP('Opći dio'!$C$3,'Opći dio'!$L$6:$U$136,10,FALSE))</f>
        <v/>
      </c>
      <c r="B70" s="139" t="str">
        <f>IF(E70="","",VLOOKUP('Opći dio'!$C$3,'Opći dio'!$L$6:$U$136,9,FALSE))</f>
        <v/>
      </c>
      <c r="C70" s="187" t="str">
        <f t="shared" si="8"/>
        <v/>
      </c>
      <c r="D70" s="138" t="str">
        <f t="shared" si="9"/>
        <v/>
      </c>
      <c r="E70" s="150"/>
      <c r="F70" s="191" t="str">
        <f t="shared" si="10"/>
        <v/>
      </c>
      <c r="G70" s="185"/>
      <c r="H70" s="185"/>
      <c r="I70" s="185"/>
      <c r="K70" s="141" t="str">
        <f t="shared" si="11"/>
        <v/>
      </c>
      <c r="L70" s="141" t="str">
        <f t="shared" si="12"/>
        <v/>
      </c>
      <c r="Q70" s="6">
        <v>663230000</v>
      </c>
      <c r="R70" s="6" t="s">
        <v>39</v>
      </c>
      <c r="S70" s="6">
        <v>61</v>
      </c>
      <c r="T70" s="6" t="s">
        <v>2106</v>
      </c>
      <c r="U70">
        <v>663</v>
      </c>
    </row>
    <row r="71" spans="1:21">
      <c r="A71" s="139" t="str">
        <f>IF(E71="","",VLOOKUP('Opći dio'!$C$3,'Opći dio'!$L$6:$U$136,10,FALSE))</f>
        <v/>
      </c>
      <c r="B71" s="139" t="str">
        <f>IF(E71="","",VLOOKUP('Opći dio'!$C$3,'Opći dio'!$L$6:$U$136,9,FALSE))</f>
        <v/>
      </c>
      <c r="C71" s="187" t="str">
        <f t="shared" si="8"/>
        <v/>
      </c>
      <c r="D71" s="138" t="str">
        <f t="shared" si="9"/>
        <v/>
      </c>
      <c r="E71" s="150"/>
      <c r="F71" s="191" t="str">
        <f t="shared" si="10"/>
        <v/>
      </c>
      <c r="G71" s="185"/>
      <c r="H71" s="185"/>
      <c r="I71" s="185"/>
      <c r="K71" s="141" t="str">
        <f t="shared" si="11"/>
        <v/>
      </c>
      <c r="L71" s="141" t="str">
        <f t="shared" si="12"/>
        <v/>
      </c>
      <c r="Q71" s="6">
        <v>663240000</v>
      </c>
      <c r="R71" s="6" t="s">
        <v>2109</v>
      </c>
      <c r="S71" s="6">
        <v>61</v>
      </c>
      <c r="T71" s="6" t="s">
        <v>2106</v>
      </c>
      <c r="U71">
        <v>663</v>
      </c>
    </row>
    <row r="72" spans="1:21">
      <c r="A72" s="139" t="str">
        <f>IF(E72="","",VLOOKUP('Opći dio'!$C$3,'Opći dio'!$L$6:$U$136,10,FALSE))</f>
        <v/>
      </c>
      <c r="B72" s="139" t="str">
        <f>IF(E72="","",VLOOKUP('Opći dio'!$C$3,'Opći dio'!$L$6:$U$136,9,FALSE))</f>
        <v/>
      </c>
      <c r="C72" s="187" t="str">
        <f t="shared" si="8"/>
        <v/>
      </c>
      <c r="D72" s="138" t="str">
        <f t="shared" si="9"/>
        <v/>
      </c>
      <c r="E72" s="150"/>
      <c r="F72" s="191" t="str">
        <f t="shared" si="10"/>
        <v/>
      </c>
      <c r="G72" s="185"/>
      <c r="H72" s="185"/>
      <c r="I72" s="185"/>
      <c r="K72" s="141" t="str">
        <f t="shared" si="11"/>
        <v/>
      </c>
      <c r="L72" s="141" t="str">
        <f t="shared" si="12"/>
        <v/>
      </c>
      <c r="Q72" s="6">
        <v>681910043</v>
      </c>
      <c r="R72" s="6" t="s">
        <v>245</v>
      </c>
      <c r="S72" s="6">
        <v>43</v>
      </c>
      <c r="T72" s="6" t="s">
        <v>103</v>
      </c>
      <c r="U72">
        <v>681</v>
      </c>
    </row>
    <row r="73" spans="1:21">
      <c r="A73" s="139" t="str">
        <f>IF(E73="","",VLOOKUP('Opći dio'!$C$3,'Opći dio'!$L$6:$U$136,10,FALSE))</f>
        <v/>
      </c>
      <c r="B73" s="139" t="str">
        <f>IF(E73="","",VLOOKUP('Opći dio'!$C$3,'Opći dio'!$L$6:$U$136,9,FALSE))</f>
        <v/>
      </c>
      <c r="C73" s="187" t="str">
        <f t="shared" si="8"/>
        <v/>
      </c>
      <c r="D73" s="138" t="str">
        <f t="shared" si="9"/>
        <v/>
      </c>
      <c r="E73" s="150"/>
      <c r="F73" s="191" t="str">
        <f t="shared" si="10"/>
        <v/>
      </c>
      <c r="G73" s="185"/>
      <c r="H73" s="185"/>
      <c r="I73" s="185"/>
      <c r="K73" s="141" t="str">
        <f t="shared" si="11"/>
        <v/>
      </c>
      <c r="L73" s="141" t="str">
        <f t="shared" si="12"/>
        <v/>
      </c>
      <c r="Q73" s="6">
        <v>683110031</v>
      </c>
      <c r="R73" s="6" t="s">
        <v>2110</v>
      </c>
      <c r="S73" s="6">
        <v>31</v>
      </c>
      <c r="T73" s="6" t="s">
        <v>98</v>
      </c>
      <c r="U73">
        <v>683</v>
      </c>
    </row>
    <row r="74" spans="1:21">
      <c r="A74" s="139" t="str">
        <f>IF(E74="","",VLOOKUP('Opći dio'!$C$3,'Opći dio'!$L$6:$U$136,10,FALSE))</f>
        <v/>
      </c>
      <c r="B74" s="139" t="str">
        <f>IF(E74="","",VLOOKUP('Opći dio'!$C$3,'Opći dio'!$L$6:$U$136,9,FALSE))</f>
        <v/>
      </c>
      <c r="C74" s="187" t="str">
        <f t="shared" si="8"/>
        <v/>
      </c>
      <c r="D74" s="138" t="str">
        <f t="shared" si="9"/>
        <v/>
      </c>
      <c r="E74" s="150"/>
      <c r="F74" s="191" t="str">
        <f t="shared" si="10"/>
        <v/>
      </c>
      <c r="G74" s="185"/>
      <c r="H74" s="185"/>
      <c r="I74" s="185"/>
      <c r="K74" s="141" t="str">
        <f t="shared" si="11"/>
        <v/>
      </c>
      <c r="L74" s="141" t="str">
        <f t="shared" si="12"/>
        <v/>
      </c>
      <c r="Q74" s="6">
        <v>683110043</v>
      </c>
      <c r="R74" s="6" t="s">
        <v>246</v>
      </c>
      <c r="S74" s="6">
        <v>43</v>
      </c>
      <c r="T74" s="6" t="s">
        <v>103</v>
      </c>
      <c r="U74">
        <v>683</v>
      </c>
    </row>
    <row r="75" spans="1:21">
      <c r="A75" s="139" t="str">
        <f>IF(E75="","",VLOOKUP('Opći dio'!$C$3,'Opći dio'!$L$6:$U$136,10,FALSE))</f>
        <v/>
      </c>
      <c r="B75" s="139" t="str">
        <f>IF(E75="","",VLOOKUP('Opći dio'!$C$3,'Opći dio'!$L$6:$U$136,9,FALSE))</f>
        <v/>
      </c>
      <c r="C75" s="187" t="str">
        <f t="shared" si="8"/>
        <v/>
      </c>
      <c r="D75" s="138" t="str">
        <f t="shared" si="9"/>
        <v/>
      </c>
      <c r="E75" s="150"/>
      <c r="F75" s="191" t="str">
        <f t="shared" si="10"/>
        <v/>
      </c>
      <c r="G75" s="185"/>
      <c r="H75" s="185"/>
      <c r="I75" s="185"/>
      <c r="K75" s="141" t="str">
        <f t="shared" si="11"/>
        <v/>
      </c>
      <c r="L75" s="141" t="str">
        <f t="shared" si="12"/>
        <v/>
      </c>
      <c r="Q75" s="6">
        <v>711110071</v>
      </c>
      <c r="R75" s="6" t="s">
        <v>2111</v>
      </c>
      <c r="S75" s="6">
        <v>71</v>
      </c>
      <c r="T75" s="6" t="s">
        <v>2112</v>
      </c>
      <c r="U75">
        <v>711</v>
      </c>
    </row>
    <row r="76" spans="1:21">
      <c r="A76" s="139" t="str">
        <f>IF(E76="","",VLOOKUP('Opći dio'!$C$3,'Opći dio'!$L$6:$U$136,10,FALSE))</f>
        <v/>
      </c>
      <c r="B76" s="139" t="str">
        <f>IF(E76="","",VLOOKUP('Opći dio'!$C$3,'Opći dio'!$L$6:$U$136,9,FALSE))</f>
        <v/>
      </c>
      <c r="C76" s="187" t="str">
        <f t="shared" si="8"/>
        <v/>
      </c>
      <c r="D76" s="138" t="str">
        <f t="shared" si="9"/>
        <v/>
      </c>
      <c r="E76" s="150"/>
      <c r="F76" s="191" t="str">
        <f t="shared" si="10"/>
        <v/>
      </c>
      <c r="G76" s="185"/>
      <c r="H76" s="185"/>
      <c r="I76" s="185"/>
      <c r="K76" s="141" t="str">
        <f t="shared" si="11"/>
        <v/>
      </c>
      <c r="L76" s="141" t="str">
        <f t="shared" si="12"/>
        <v/>
      </c>
      <c r="Q76" s="6">
        <v>711120071</v>
      </c>
      <c r="R76" s="6" t="s">
        <v>2113</v>
      </c>
      <c r="S76" s="6">
        <v>71</v>
      </c>
      <c r="T76" s="6" t="s">
        <v>2112</v>
      </c>
      <c r="U76">
        <v>711</v>
      </c>
    </row>
    <row r="77" spans="1:21">
      <c r="A77" s="139" t="str">
        <f>IF(E77="","",VLOOKUP('Opći dio'!$C$3,'Opći dio'!$L$6:$U$136,10,FALSE))</f>
        <v/>
      </c>
      <c r="B77" s="139" t="str">
        <f>IF(E77="","",VLOOKUP('Opći dio'!$C$3,'Opći dio'!$L$6:$U$136,9,FALSE))</f>
        <v/>
      </c>
      <c r="C77" s="187" t="str">
        <f t="shared" si="8"/>
        <v/>
      </c>
      <c r="D77" s="138" t="str">
        <f t="shared" si="9"/>
        <v/>
      </c>
      <c r="E77" s="150"/>
      <c r="F77" s="191" t="str">
        <f t="shared" si="10"/>
        <v/>
      </c>
      <c r="G77" s="185"/>
      <c r="H77" s="185"/>
      <c r="I77" s="185"/>
      <c r="K77" s="141" t="str">
        <f t="shared" si="11"/>
        <v/>
      </c>
      <c r="L77" s="141" t="str">
        <f t="shared" si="12"/>
        <v/>
      </c>
      <c r="Q77" s="6">
        <v>712410071</v>
      </c>
      <c r="R77" s="6" t="s">
        <v>248</v>
      </c>
      <c r="S77" s="6">
        <v>71</v>
      </c>
      <c r="T77" s="6" t="s">
        <v>2112</v>
      </c>
      <c r="U77">
        <v>712</v>
      </c>
    </row>
    <row r="78" spans="1:21">
      <c r="A78" s="139" t="str">
        <f>IF(E78="","",VLOOKUP('Opći dio'!$C$3,'Opći dio'!$L$6:$U$136,10,FALSE))</f>
        <v/>
      </c>
      <c r="B78" s="139" t="str">
        <f>IF(E78="","",VLOOKUP('Opći dio'!$C$3,'Opći dio'!$L$6:$U$136,9,FALSE))</f>
        <v/>
      </c>
      <c r="C78" s="187" t="str">
        <f t="shared" si="8"/>
        <v/>
      </c>
      <c r="D78" s="138" t="str">
        <f t="shared" si="9"/>
        <v/>
      </c>
      <c r="E78" s="150"/>
      <c r="F78" s="191" t="str">
        <f t="shared" si="10"/>
        <v/>
      </c>
      <c r="G78" s="185"/>
      <c r="H78" s="185"/>
      <c r="I78" s="185"/>
      <c r="K78" s="141" t="str">
        <f t="shared" si="11"/>
        <v/>
      </c>
      <c r="L78" s="141" t="str">
        <f t="shared" si="12"/>
        <v/>
      </c>
      <c r="Q78" s="6">
        <v>712490071</v>
      </c>
      <c r="R78" s="6" t="s">
        <v>249</v>
      </c>
      <c r="S78" s="6">
        <v>71</v>
      </c>
      <c r="T78" s="6" t="s">
        <v>2112</v>
      </c>
      <c r="U78">
        <v>712</v>
      </c>
    </row>
    <row r="79" spans="1:21">
      <c r="A79" s="139" t="str">
        <f>IF(E79="","",VLOOKUP('Opći dio'!$C$3,'Opći dio'!$L$6:$U$136,10,FALSE))</f>
        <v/>
      </c>
      <c r="B79" s="139" t="str">
        <f>IF(E79="","",VLOOKUP('Opći dio'!$C$3,'Opći dio'!$L$6:$U$136,9,FALSE))</f>
        <v/>
      </c>
      <c r="C79" s="187" t="str">
        <f t="shared" si="8"/>
        <v/>
      </c>
      <c r="D79" s="138" t="str">
        <f t="shared" si="9"/>
        <v/>
      </c>
      <c r="E79" s="150"/>
      <c r="F79" s="191" t="str">
        <f t="shared" si="10"/>
        <v/>
      </c>
      <c r="G79" s="185"/>
      <c r="H79" s="185"/>
      <c r="I79" s="185"/>
      <c r="K79" s="141" t="str">
        <f t="shared" si="11"/>
        <v/>
      </c>
      <c r="L79" s="141" t="str">
        <f t="shared" si="12"/>
        <v/>
      </c>
      <c r="Q79" s="6">
        <v>721110071</v>
      </c>
      <c r="R79" s="6" t="s">
        <v>250</v>
      </c>
      <c r="S79" s="6">
        <v>71</v>
      </c>
      <c r="T79" s="6" t="s">
        <v>2112</v>
      </c>
      <c r="U79">
        <v>721</v>
      </c>
    </row>
    <row r="80" spans="1:21">
      <c r="A80" s="139" t="str">
        <f>IF(E80="","",VLOOKUP('Opći dio'!$C$3,'Opći dio'!$L$6:$U$136,10,FALSE))</f>
        <v/>
      </c>
      <c r="B80" s="139" t="str">
        <f>IF(E80="","",VLOOKUP('Opći dio'!$C$3,'Opći dio'!$L$6:$U$136,9,FALSE))</f>
        <v/>
      </c>
      <c r="C80" s="187" t="str">
        <f t="shared" si="8"/>
        <v/>
      </c>
      <c r="D80" s="138" t="str">
        <f t="shared" si="9"/>
        <v/>
      </c>
      <c r="E80" s="150"/>
      <c r="F80" s="191" t="str">
        <f t="shared" si="10"/>
        <v/>
      </c>
      <c r="G80" s="185"/>
      <c r="H80" s="185"/>
      <c r="I80" s="185"/>
      <c r="K80" s="141" t="str">
        <f t="shared" si="11"/>
        <v/>
      </c>
      <c r="L80" s="141" t="str">
        <f t="shared" si="12"/>
        <v/>
      </c>
      <c r="Q80" s="6">
        <v>721190071</v>
      </c>
      <c r="R80" s="6" t="s">
        <v>251</v>
      </c>
      <c r="S80" s="6">
        <v>71</v>
      </c>
      <c r="T80" s="6" t="s">
        <v>2112</v>
      </c>
      <c r="U80">
        <v>721</v>
      </c>
    </row>
    <row r="81" spans="1:21">
      <c r="A81" s="139" t="str">
        <f>IF(E81="","",VLOOKUP('Opći dio'!$C$3,'Opći dio'!$L$6:$U$136,10,FALSE))</f>
        <v/>
      </c>
      <c r="B81" s="139" t="str">
        <f>IF(E81="","",VLOOKUP('Opći dio'!$C$3,'Opći dio'!$L$6:$U$136,9,FALSE))</f>
        <v/>
      </c>
      <c r="C81" s="187" t="str">
        <f t="shared" si="8"/>
        <v/>
      </c>
      <c r="D81" s="138" t="str">
        <f t="shared" si="9"/>
        <v/>
      </c>
      <c r="E81" s="150"/>
      <c r="F81" s="191" t="str">
        <f t="shared" si="10"/>
        <v/>
      </c>
      <c r="G81" s="185"/>
      <c r="H81" s="185"/>
      <c r="I81" s="185"/>
      <c r="K81" s="141" t="str">
        <f t="shared" si="11"/>
        <v/>
      </c>
      <c r="L81" s="141" t="str">
        <f t="shared" si="12"/>
        <v/>
      </c>
      <c r="Q81" s="6">
        <v>721230071</v>
      </c>
      <c r="R81" s="6" t="s">
        <v>252</v>
      </c>
      <c r="S81" s="6">
        <v>71</v>
      </c>
      <c r="T81" s="6" t="s">
        <v>2112</v>
      </c>
      <c r="U81">
        <v>721</v>
      </c>
    </row>
    <row r="82" spans="1:21">
      <c r="A82" s="139" t="str">
        <f>IF(E82="","",VLOOKUP('Opći dio'!$C$3,'Opći dio'!$L$6:$U$136,10,FALSE))</f>
        <v/>
      </c>
      <c r="B82" s="139" t="str">
        <f>IF(E82="","",VLOOKUP('Opći dio'!$C$3,'Opći dio'!$L$6:$U$136,9,FALSE))</f>
        <v/>
      </c>
      <c r="C82" s="187" t="str">
        <f t="shared" si="8"/>
        <v/>
      </c>
      <c r="D82" s="138" t="str">
        <f t="shared" si="9"/>
        <v/>
      </c>
      <c r="E82" s="150"/>
      <c r="F82" s="191" t="str">
        <f t="shared" si="10"/>
        <v/>
      </c>
      <c r="G82" s="185"/>
      <c r="H82" s="185"/>
      <c r="I82" s="185"/>
      <c r="K82" s="141" t="str">
        <f t="shared" si="11"/>
        <v/>
      </c>
      <c r="L82" s="141" t="str">
        <f t="shared" si="12"/>
        <v/>
      </c>
      <c r="Q82" s="6">
        <v>721290071</v>
      </c>
      <c r="R82" s="6" t="s">
        <v>253</v>
      </c>
      <c r="S82" s="6">
        <v>71</v>
      </c>
      <c r="T82" s="6" t="s">
        <v>2112</v>
      </c>
      <c r="U82">
        <v>721</v>
      </c>
    </row>
    <row r="83" spans="1:21">
      <c r="A83" s="139" t="str">
        <f>IF(E83="","",VLOOKUP('Opći dio'!$C$3,'Opći dio'!$L$6:$U$136,10,FALSE))</f>
        <v/>
      </c>
      <c r="B83" s="139" t="str">
        <f>IF(E83="","",VLOOKUP('Opći dio'!$C$3,'Opći dio'!$L$6:$U$136,9,FALSE))</f>
        <v/>
      </c>
      <c r="C83" s="187" t="str">
        <f t="shared" si="8"/>
        <v/>
      </c>
      <c r="D83" s="138" t="str">
        <f t="shared" si="9"/>
        <v/>
      </c>
      <c r="E83" s="150"/>
      <c r="F83" s="191" t="str">
        <f t="shared" si="10"/>
        <v/>
      </c>
      <c r="G83" s="185"/>
      <c r="H83" s="185"/>
      <c r="I83" s="185"/>
      <c r="K83" s="141" t="str">
        <f t="shared" si="11"/>
        <v/>
      </c>
      <c r="L83" s="141" t="str">
        <f t="shared" si="12"/>
        <v/>
      </c>
      <c r="Q83" s="6">
        <v>722110071</v>
      </c>
      <c r="R83" s="6" t="s">
        <v>254</v>
      </c>
      <c r="S83" s="6">
        <v>71</v>
      </c>
      <c r="T83" s="6" t="s">
        <v>2112</v>
      </c>
      <c r="U83">
        <v>722</v>
      </c>
    </row>
    <row r="84" spans="1:21">
      <c r="A84" s="139" t="str">
        <f>IF(E84="","",VLOOKUP('Opći dio'!$C$3,'Opći dio'!$L$6:$U$136,10,FALSE))</f>
        <v/>
      </c>
      <c r="B84" s="139" t="str">
        <f>IF(E84="","",VLOOKUP('Opći dio'!$C$3,'Opći dio'!$L$6:$U$136,9,FALSE))</f>
        <v/>
      </c>
      <c r="C84" s="187" t="str">
        <f t="shared" si="8"/>
        <v/>
      </c>
      <c r="D84" s="138" t="str">
        <f t="shared" si="9"/>
        <v/>
      </c>
      <c r="E84" s="150"/>
      <c r="F84" s="191" t="str">
        <f t="shared" si="10"/>
        <v/>
      </c>
      <c r="G84" s="185"/>
      <c r="H84" s="185"/>
      <c r="I84" s="185"/>
      <c r="K84" s="141" t="str">
        <f t="shared" si="11"/>
        <v/>
      </c>
      <c r="L84" s="141" t="str">
        <f t="shared" si="12"/>
        <v/>
      </c>
      <c r="Q84" s="6">
        <v>722120071</v>
      </c>
      <c r="R84" s="6" t="s">
        <v>2114</v>
      </c>
      <c r="S84" s="6">
        <v>71</v>
      </c>
      <c r="T84" s="6" t="s">
        <v>2112</v>
      </c>
      <c r="U84">
        <v>722</v>
      </c>
    </row>
    <row r="85" spans="1:21">
      <c r="A85" s="139" t="str">
        <f>IF(E85="","",VLOOKUP('Opći dio'!$C$3,'Opći dio'!$L$6:$U$136,10,FALSE))</f>
        <v/>
      </c>
      <c r="B85" s="139" t="str">
        <f>IF(E85="","",VLOOKUP('Opći dio'!$C$3,'Opći dio'!$L$6:$U$136,9,FALSE))</f>
        <v/>
      </c>
      <c r="C85" s="187" t="str">
        <f t="shared" si="8"/>
        <v/>
      </c>
      <c r="D85" s="138" t="str">
        <f t="shared" si="9"/>
        <v/>
      </c>
      <c r="E85" s="150"/>
      <c r="F85" s="191" t="str">
        <f t="shared" si="10"/>
        <v/>
      </c>
      <c r="G85" s="185"/>
      <c r="H85" s="185"/>
      <c r="I85" s="185"/>
      <c r="K85" s="141" t="str">
        <f t="shared" si="11"/>
        <v/>
      </c>
      <c r="L85" s="141" t="str">
        <f t="shared" si="12"/>
        <v/>
      </c>
      <c r="Q85" s="6">
        <v>722190071</v>
      </c>
      <c r="R85" s="6" t="s">
        <v>255</v>
      </c>
      <c r="S85" s="6">
        <v>71</v>
      </c>
      <c r="T85" s="6" t="s">
        <v>2112</v>
      </c>
      <c r="U85">
        <v>722</v>
      </c>
    </row>
    <row r="86" spans="1:21">
      <c r="A86" s="139" t="str">
        <f>IF(E86="","",VLOOKUP('Opći dio'!$C$3,'Opći dio'!$L$6:$U$136,10,FALSE))</f>
        <v/>
      </c>
      <c r="B86" s="139" t="str">
        <f>IF(E86="","",VLOOKUP('Opći dio'!$C$3,'Opći dio'!$L$6:$U$136,9,FALSE))</f>
        <v/>
      </c>
      <c r="C86" s="187" t="str">
        <f t="shared" si="8"/>
        <v/>
      </c>
      <c r="D86" s="138" t="str">
        <f t="shared" si="9"/>
        <v/>
      </c>
      <c r="E86" s="150"/>
      <c r="F86" s="191" t="str">
        <f t="shared" si="10"/>
        <v/>
      </c>
      <c r="G86" s="185"/>
      <c r="H86" s="185"/>
      <c r="I86" s="185"/>
      <c r="K86" s="141" t="str">
        <f t="shared" si="11"/>
        <v/>
      </c>
      <c r="L86" s="141" t="str">
        <f t="shared" si="12"/>
        <v/>
      </c>
      <c r="Q86" s="6">
        <v>722620071</v>
      </c>
      <c r="R86" s="6" t="s">
        <v>256</v>
      </c>
      <c r="S86" s="6">
        <v>71</v>
      </c>
      <c r="T86" s="6" t="s">
        <v>2112</v>
      </c>
      <c r="U86">
        <v>722</v>
      </c>
    </row>
    <row r="87" spans="1:21">
      <c r="A87" s="139" t="str">
        <f>IF(E87="","",VLOOKUP('Opći dio'!$C$3,'Opći dio'!$L$6:$U$136,10,FALSE))</f>
        <v/>
      </c>
      <c r="B87" s="139" t="str">
        <f>IF(E87="","",VLOOKUP('Opći dio'!$C$3,'Opći dio'!$L$6:$U$136,9,FALSE))</f>
        <v/>
      </c>
      <c r="C87" s="187" t="str">
        <f t="shared" si="8"/>
        <v/>
      </c>
      <c r="D87" s="138" t="str">
        <f t="shared" si="9"/>
        <v/>
      </c>
      <c r="E87" s="150"/>
      <c r="F87" s="191" t="str">
        <f t="shared" si="10"/>
        <v/>
      </c>
      <c r="G87" s="185"/>
      <c r="H87" s="185"/>
      <c r="I87" s="185"/>
      <c r="K87" s="141" t="str">
        <f t="shared" si="11"/>
        <v/>
      </c>
      <c r="L87" s="141" t="str">
        <f t="shared" si="12"/>
        <v/>
      </c>
      <c r="Q87" s="6">
        <v>722730071</v>
      </c>
      <c r="R87" s="6" t="s">
        <v>257</v>
      </c>
      <c r="S87" s="6">
        <v>71</v>
      </c>
      <c r="T87" s="6" t="s">
        <v>2112</v>
      </c>
      <c r="U87">
        <v>722</v>
      </c>
    </row>
    <row r="88" spans="1:21">
      <c r="A88" s="139" t="str">
        <f>IF(E88="","",VLOOKUP('Opći dio'!$C$3,'Opći dio'!$L$6:$U$136,10,FALSE))</f>
        <v/>
      </c>
      <c r="B88" s="139" t="str">
        <f>IF(E88="","",VLOOKUP('Opći dio'!$C$3,'Opći dio'!$L$6:$U$136,9,FALSE))</f>
        <v/>
      </c>
      <c r="C88" s="187" t="str">
        <f t="shared" si="8"/>
        <v/>
      </c>
      <c r="D88" s="138" t="str">
        <f t="shared" si="9"/>
        <v/>
      </c>
      <c r="E88" s="150"/>
      <c r="F88" s="191" t="str">
        <f t="shared" si="10"/>
        <v/>
      </c>
      <c r="G88" s="185"/>
      <c r="H88" s="185"/>
      <c r="I88" s="185"/>
      <c r="K88" s="141" t="str">
        <f t="shared" si="11"/>
        <v/>
      </c>
      <c r="L88" s="141" t="str">
        <f t="shared" si="12"/>
        <v/>
      </c>
      <c r="Q88" s="6">
        <v>723110071</v>
      </c>
      <c r="R88" s="6" t="s">
        <v>258</v>
      </c>
      <c r="S88" s="6">
        <v>71</v>
      </c>
      <c r="T88" s="6" t="s">
        <v>2112</v>
      </c>
      <c r="U88">
        <v>723</v>
      </c>
    </row>
    <row r="89" spans="1:21">
      <c r="A89" s="139" t="str">
        <f>IF(E89="","",VLOOKUP('Opći dio'!$C$3,'Opći dio'!$L$6:$U$136,10,FALSE))</f>
        <v/>
      </c>
      <c r="B89" s="139" t="str">
        <f>IF(E89="","",VLOOKUP('Opći dio'!$C$3,'Opći dio'!$L$6:$U$136,9,FALSE))</f>
        <v/>
      </c>
      <c r="C89" s="187" t="str">
        <f t="shared" si="8"/>
        <v/>
      </c>
      <c r="D89" s="138" t="str">
        <f t="shared" si="9"/>
        <v/>
      </c>
      <c r="E89" s="150"/>
      <c r="F89" s="191" t="str">
        <f t="shared" si="10"/>
        <v/>
      </c>
      <c r="G89" s="185"/>
      <c r="H89" s="185"/>
      <c r="I89" s="185"/>
      <c r="K89" s="141" t="str">
        <f t="shared" si="11"/>
        <v/>
      </c>
      <c r="L89" s="141" t="str">
        <f t="shared" si="12"/>
        <v/>
      </c>
      <c r="Q89" s="6">
        <v>723130071</v>
      </c>
      <c r="R89" s="6" t="s">
        <v>2115</v>
      </c>
      <c r="S89" s="6">
        <v>71</v>
      </c>
      <c r="T89" s="6" t="s">
        <v>2112</v>
      </c>
      <c r="U89">
        <v>723</v>
      </c>
    </row>
    <row r="90" spans="1:21">
      <c r="A90" s="139" t="str">
        <f>IF(E90="","",VLOOKUP('Opći dio'!$C$3,'Opći dio'!$L$6:$U$136,10,FALSE))</f>
        <v/>
      </c>
      <c r="B90" s="139" t="str">
        <f>IF(E90="","",VLOOKUP('Opći dio'!$C$3,'Opći dio'!$L$6:$U$136,9,FALSE))</f>
        <v/>
      </c>
      <c r="C90" s="187" t="str">
        <f t="shared" si="8"/>
        <v/>
      </c>
      <c r="D90" s="138" t="str">
        <f t="shared" si="9"/>
        <v/>
      </c>
      <c r="E90" s="150"/>
      <c r="F90" s="191" t="str">
        <f t="shared" si="10"/>
        <v/>
      </c>
      <c r="G90" s="185"/>
      <c r="H90" s="185"/>
      <c r="I90" s="185"/>
      <c r="K90" s="141" t="str">
        <f t="shared" si="11"/>
        <v/>
      </c>
      <c r="L90" s="141" t="str">
        <f t="shared" si="12"/>
        <v/>
      </c>
      <c r="Q90" s="6">
        <v>723140071</v>
      </c>
      <c r="R90" s="6" t="s">
        <v>2116</v>
      </c>
      <c r="S90" s="6">
        <v>71</v>
      </c>
      <c r="T90" s="6" t="s">
        <v>2112</v>
      </c>
      <c r="U90">
        <v>723</v>
      </c>
    </row>
    <row r="91" spans="1:21">
      <c r="A91" s="139" t="str">
        <f>IF(E91="","",VLOOKUP('Opći dio'!$C$3,'Opći dio'!$L$6:$U$136,10,FALSE))</f>
        <v/>
      </c>
      <c r="B91" s="139" t="str">
        <f>IF(E91="","",VLOOKUP('Opći dio'!$C$3,'Opći dio'!$L$6:$U$136,9,FALSE))</f>
        <v/>
      </c>
      <c r="C91" s="187" t="str">
        <f t="shared" si="8"/>
        <v/>
      </c>
      <c r="D91" s="138" t="str">
        <f t="shared" si="9"/>
        <v/>
      </c>
      <c r="E91" s="150"/>
      <c r="F91" s="191" t="str">
        <f t="shared" si="10"/>
        <v/>
      </c>
      <c r="G91" s="185"/>
      <c r="H91" s="185"/>
      <c r="I91" s="185"/>
      <c r="K91" s="141" t="str">
        <f t="shared" si="11"/>
        <v/>
      </c>
      <c r="L91" s="141" t="str">
        <f t="shared" si="12"/>
        <v/>
      </c>
      <c r="Q91" s="6">
        <v>723150071</v>
      </c>
      <c r="R91" s="6" t="s">
        <v>2117</v>
      </c>
      <c r="S91" s="6">
        <v>71</v>
      </c>
      <c r="T91" s="6" t="s">
        <v>2112</v>
      </c>
      <c r="U91">
        <v>723</v>
      </c>
    </row>
    <row r="92" spans="1:21">
      <c r="A92" s="139" t="str">
        <f>IF(E92="","",VLOOKUP('Opći dio'!$C$3,'Opći dio'!$L$6:$U$136,10,FALSE))</f>
        <v/>
      </c>
      <c r="B92" s="139" t="str">
        <f>IF(E92="","",VLOOKUP('Opći dio'!$C$3,'Opći dio'!$L$6:$U$136,9,FALSE))</f>
        <v/>
      </c>
      <c r="C92" s="187" t="str">
        <f t="shared" si="8"/>
        <v/>
      </c>
      <c r="D92" s="138" t="str">
        <f t="shared" si="9"/>
        <v/>
      </c>
      <c r="E92" s="150"/>
      <c r="F92" s="191" t="str">
        <f t="shared" si="10"/>
        <v/>
      </c>
      <c r="G92" s="185"/>
      <c r="H92" s="185"/>
      <c r="I92" s="185"/>
      <c r="K92" s="141" t="str">
        <f t="shared" si="11"/>
        <v/>
      </c>
      <c r="L92" s="141" t="str">
        <f t="shared" si="12"/>
        <v/>
      </c>
      <c r="Q92" s="6">
        <v>723160071</v>
      </c>
      <c r="R92" s="6" t="s">
        <v>2118</v>
      </c>
      <c r="S92" s="6">
        <v>71</v>
      </c>
      <c r="T92" s="6" t="s">
        <v>2112</v>
      </c>
      <c r="U92">
        <v>723</v>
      </c>
    </row>
    <row r="93" spans="1:21">
      <c r="A93" s="139" t="str">
        <f>IF(E93="","",VLOOKUP('Opći dio'!$C$3,'Opći dio'!$L$6:$U$136,10,FALSE))</f>
        <v/>
      </c>
      <c r="B93" s="139" t="str">
        <f>IF(E93="","",VLOOKUP('Opći dio'!$C$3,'Opći dio'!$L$6:$U$136,9,FALSE))</f>
        <v/>
      </c>
      <c r="C93" s="187" t="str">
        <f t="shared" si="8"/>
        <v/>
      </c>
      <c r="D93" s="138" t="str">
        <f t="shared" si="9"/>
        <v/>
      </c>
      <c r="E93" s="150"/>
      <c r="F93" s="191" t="str">
        <f t="shared" si="10"/>
        <v/>
      </c>
      <c r="G93" s="185"/>
      <c r="H93" s="185"/>
      <c r="I93" s="185"/>
      <c r="K93" s="141" t="str">
        <f t="shared" si="11"/>
        <v/>
      </c>
      <c r="L93" s="141" t="str">
        <f t="shared" si="12"/>
        <v/>
      </c>
      <c r="Q93" s="6">
        <v>723310071</v>
      </c>
      <c r="R93" s="6" t="s">
        <v>2119</v>
      </c>
      <c r="S93" s="6">
        <v>71</v>
      </c>
      <c r="T93" s="6" t="s">
        <v>2112</v>
      </c>
      <c r="U93">
        <v>723</v>
      </c>
    </row>
    <row r="94" spans="1:21">
      <c r="A94" s="139" t="str">
        <f>IF(E94="","",VLOOKUP('Opći dio'!$C$3,'Opći dio'!$L$6:$U$136,10,FALSE))</f>
        <v/>
      </c>
      <c r="B94" s="139" t="str">
        <f>IF(E94="","",VLOOKUP('Opći dio'!$C$3,'Opći dio'!$L$6:$U$136,9,FALSE))</f>
        <v/>
      </c>
      <c r="C94" s="187" t="str">
        <f t="shared" si="8"/>
        <v/>
      </c>
      <c r="D94" s="138" t="str">
        <f t="shared" si="9"/>
        <v/>
      </c>
      <c r="E94" s="150"/>
      <c r="F94" s="191" t="str">
        <f t="shared" si="10"/>
        <v/>
      </c>
      <c r="G94" s="185"/>
      <c r="H94" s="185"/>
      <c r="I94" s="185"/>
      <c r="K94" s="141" t="str">
        <f t="shared" si="11"/>
        <v/>
      </c>
      <c r="L94" s="141" t="str">
        <f t="shared" si="12"/>
        <v/>
      </c>
      <c r="Q94" s="6">
        <v>725210071</v>
      </c>
      <c r="R94" s="6" t="s">
        <v>259</v>
      </c>
      <c r="S94" s="6">
        <v>71</v>
      </c>
      <c r="T94" s="6" t="s">
        <v>2112</v>
      </c>
      <c r="U94">
        <v>725</v>
      </c>
    </row>
    <row r="95" spans="1:21">
      <c r="A95" s="139" t="str">
        <f>IF(E95="","",VLOOKUP('Opći dio'!$C$3,'Opći dio'!$L$6:$U$136,10,FALSE))</f>
        <v/>
      </c>
      <c r="B95" s="139" t="str">
        <f>IF(E95="","",VLOOKUP('Opći dio'!$C$3,'Opći dio'!$L$6:$U$136,9,FALSE))</f>
        <v/>
      </c>
      <c r="C95" s="187" t="str">
        <f t="shared" si="8"/>
        <v/>
      </c>
      <c r="D95" s="138" t="str">
        <f t="shared" si="9"/>
        <v/>
      </c>
      <c r="E95" s="150"/>
      <c r="F95" s="191" t="str">
        <f t="shared" si="10"/>
        <v/>
      </c>
      <c r="G95" s="185"/>
      <c r="H95" s="185"/>
      <c r="I95" s="185"/>
      <c r="K95" s="141" t="str">
        <f t="shared" si="11"/>
        <v/>
      </c>
      <c r="L95" s="141" t="str">
        <f t="shared" si="12"/>
        <v/>
      </c>
      <c r="Q95" s="6">
        <v>812150000</v>
      </c>
      <c r="R95" s="6" t="s">
        <v>2120</v>
      </c>
      <c r="S95" s="6">
        <v>81</v>
      </c>
      <c r="T95" s="6" t="s">
        <v>2121</v>
      </c>
      <c r="U95">
        <v>812</v>
      </c>
    </row>
    <row r="96" spans="1:21">
      <c r="A96" s="139" t="str">
        <f>IF(E96="","",VLOOKUP('Opći dio'!$C$3,'Opći dio'!$L$6:$U$136,10,FALSE))</f>
        <v/>
      </c>
      <c r="B96" s="139" t="str">
        <f>IF(E96="","",VLOOKUP('Opći dio'!$C$3,'Opći dio'!$L$6:$U$136,9,FALSE))</f>
        <v/>
      </c>
      <c r="C96" s="187" t="str">
        <f t="shared" si="8"/>
        <v/>
      </c>
      <c r="D96" s="138" t="str">
        <f t="shared" si="9"/>
        <v/>
      </c>
      <c r="E96" s="150"/>
      <c r="F96" s="191" t="str">
        <f t="shared" si="10"/>
        <v/>
      </c>
      <c r="G96" s="185"/>
      <c r="H96" s="185"/>
      <c r="I96" s="185"/>
      <c r="K96" s="141" t="str">
        <f t="shared" si="11"/>
        <v/>
      </c>
      <c r="L96" s="141" t="str">
        <f t="shared" si="12"/>
        <v/>
      </c>
      <c r="Q96" s="6">
        <v>818120043</v>
      </c>
      <c r="R96" s="6" t="s">
        <v>1556</v>
      </c>
      <c r="S96" s="6">
        <v>43</v>
      </c>
      <c r="T96" s="6" t="s">
        <v>103</v>
      </c>
      <c r="U96">
        <v>818</v>
      </c>
    </row>
    <row r="97" spans="1:21">
      <c r="A97" s="139" t="str">
        <f>IF(E97="","",VLOOKUP('Opći dio'!$C$3,'Opći dio'!$L$6:$U$136,10,FALSE))</f>
        <v/>
      </c>
      <c r="B97" s="139" t="str">
        <f>IF(E97="","",VLOOKUP('Opći dio'!$C$3,'Opći dio'!$L$6:$U$136,9,FALSE))</f>
        <v/>
      </c>
      <c r="C97" s="187" t="str">
        <f t="shared" si="8"/>
        <v/>
      </c>
      <c r="D97" s="138" t="str">
        <f t="shared" si="9"/>
        <v/>
      </c>
      <c r="E97" s="150"/>
      <c r="F97" s="191" t="str">
        <f t="shared" si="10"/>
        <v/>
      </c>
      <c r="G97" s="185"/>
      <c r="H97" s="185"/>
      <c r="I97" s="185"/>
      <c r="K97" s="141" t="str">
        <f t="shared" si="11"/>
        <v/>
      </c>
      <c r="L97" s="141" t="str">
        <f t="shared" si="12"/>
        <v/>
      </c>
      <c r="Q97" s="6">
        <v>832120043</v>
      </c>
      <c r="R97" s="6" t="s">
        <v>1557</v>
      </c>
      <c r="S97" s="6">
        <v>43</v>
      </c>
      <c r="T97" s="6" t="s">
        <v>103</v>
      </c>
      <c r="U97">
        <v>832</v>
      </c>
    </row>
    <row r="98" spans="1:21">
      <c r="A98" s="139" t="str">
        <f>IF(E98="","",VLOOKUP('Opći dio'!$C$3,'Opći dio'!$L$6:$U$136,10,FALSE))</f>
        <v/>
      </c>
      <c r="B98" s="139" t="str">
        <f>IF(E98="","",VLOOKUP('Opći dio'!$C$3,'Opći dio'!$L$6:$U$136,9,FALSE))</f>
        <v/>
      </c>
      <c r="C98" s="187" t="str">
        <f t="shared" si="8"/>
        <v/>
      </c>
      <c r="D98" s="138" t="str">
        <f t="shared" si="9"/>
        <v/>
      </c>
      <c r="E98" s="150"/>
      <c r="F98" s="191" t="str">
        <f t="shared" si="10"/>
        <v/>
      </c>
      <c r="G98" s="185"/>
      <c r="H98" s="185"/>
      <c r="I98" s="185"/>
      <c r="K98" s="141" t="str">
        <f t="shared" si="11"/>
        <v/>
      </c>
      <c r="L98" s="141" t="str">
        <f t="shared" si="12"/>
        <v/>
      </c>
      <c r="Q98" s="6">
        <v>833130043</v>
      </c>
      <c r="R98" s="6" t="s">
        <v>2122</v>
      </c>
      <c r="S98" s="6">
        <v>43</v>
      </c>
      <c r="T98" s="6" t="s">
        <v>103</v>
      </c>
      <c r="U98">
        <v>833</v>
      </c>
    </row>
    <row r="99" spans="1:21">
      <c r="A99" s="139" t="str">
        <f>IF(E99="","",VLOOKUP('Opći dio'!$C$3,'Opći dio'!$L$6:$U$136,10,FALSE))</f>
        <v/>
      </c>
      <c r="B99" s="139" t="str">
        <f>IF(E99="","",VLOOKUP('Opći dio'!$C$3,'Opći dio'!$L$6:$U$136,9,FALSE))</f>
        <v/>
      </c>
      <c r="C99" s="187" t="str">
        <f t="shared" si="8"/>
        <v/>
      </c>
      <c r="D99" s="138" t="str">
        <f t="shared" si="9"/>
        <v/>
      </c>
      <c r="E99" s="150"/>
      <c r="F99" s="191" t="str">
        <f t="shared" si="10"/>
        <v/>
      </c>
      <c r="G99" s="185"/>
      <c r="H99" s="185"/>
      <c r="I99" s="185"/>
      <c r="K99" s="141" t="str">
        <f t="shared" si="11"/>
        <v/>
      </c>
      <c r="L99" s="141" t="str">
        <f t="shared" si="12"/>
        <v/>
      </c>
      <c r="Q99" s="6">
        <v>841320133</v>
      </c>
      <c r="R99" s="6" t="s">
        <v>1558</v>
      </c>
      <c r="S99" s="6">
        <v>83</v>
      </c>
      <c r="T99" s="6" t="s">
        <v>1540</v>
      </c>
      <c r="U99">
        <v>841</v>
      </c>
    </row>
    <row r="100" spans="1:21">
      <c r="A100" s="139" t="str">
        <f>IF(E100="","",VLOOKUP('Opći dio'!$C$3,'Opći dio'!$L$6:$U$136,10,FALSE))</f>
        <v/>
      </c>
      <c r="B100" s="139" t="str">
        <f>IF(E100="","",VLOOKUP('Opći dio'!$C$3,'Opći dio'!$L$6:$U$136,9,FALSE))</f>
        <v/>
      </c>
      <c r="C100" s="187" t="str">
        <f t="shared" si="8"/>
        <v/>
      </c>
      <c r="D100" s="138" t="str">
        <f t="shared" si="9"/>
        <v/>
      </c>
      <c r="E100" s="150"/>
      <c r="F100" s="191" t="str">
        <f t="shared" si="10"/>
        <v/>
      </c>
      <c r="G100" s="185"/>
      <c r="H100" s="185"/>
      <c r="I100" s="185"/>
      <c r="K100" s="141" t="str">
        <f t="shared" si="11"/>
        <v/>
      </c>
      <c r="L100" s="141" t="str">
        <f t="shared" si="12"/>
        <v/>
      </c>
      <c r="Q100" s="6">
        <v>841320135</v>
      </c>
      <c r="R100" s="6" t="s">
        <v>1559</v>
      </c>
      <c r="S100" s="6">
        <v>83</v>
      </c>
      <c r="T100" s="6" t="s">
        <v>1540</v>
      </c>
      <c r="U100">
        <v>841</v>
      </c>
    </row>
    <row r="101" spans="1:21">
      <c r="A101" s="139" t="str">
        <f>IF(E101="","",VLOOKUP('Opći dio'!$C$3,'Opći dio'!$L$6:$U$136,10,FALSE))</f>
        <v/>
      </c>
      <c r="B101" s="139" t="str">
        <f>IF(E101="","",VLOOKUP('Opći dio'!$C$3,'Opći dio'!$L$6:$U$136,9,FALSE))</f>
        <v/>
      </c>
      <c r="C101" s="187" t="str">
        <f t="shared" si="8"/>
        <v/>
      </c>
      <c r="D101" s="138" t="str">
        <f t="shared" si="9"/>
        <v/>
      </c>
      <c r="E101" s="150"/>
      <c r="F101" s="191" t="str">
        <f t="shared" si="10"/>
        <v/>
      </c>
      <c r="G101" s="185"/>
      <c r="H101" s="185"/>
      <c r="I101" s="185"/>
      <c r="K101" s="141" t="str">
        <f t="shared" si="11"/>
        <v/>
      </c>
      <c r="L101" s="141" t="str">
        <f t="shared" si="12"/>
        <v/>
      </c>
      <c r="Q101" s="6">
        <v>842220081</v>
      </c>
      <c r="R101" s="6" t="s">
        <v>2123</v>
      </c>
      <c r="S101" s="6">
        <v>81</v>
      </c>
      <c r="T101" s="6" t="s">
        <v>2121</v>
      </c>
      <c r="U101">
        <v>842</v>
      </c>
    </row>
    <row r="102" spans="1:21">
      <c r="A102" s="139" t="str">
        <f>IF(E102="","",VLOOKUP('Opći dio'!$C$3,'Opći dio'!$L$6:$U$136,10,FALSE))</f>
        <v/>
      </c>
      <c r="B102" s="139" t="str">
        <f>IF(E102="","",VLOOKUP('Opći dio'!$C$3,'Opći dio'!$L$6:$U$136,9,FALSE))</f>
        <v/>
      </c>
      <c r="C102" s="187" t="str">
        <f t="shared" si="8"/>
        <v/>
      </c>
      <c r="D102" s="138" t="str">
        <f t="shared" si="9"/>
        <v/>
      </c>
      <c r="E102" s="150"/>
      <c r="F102" s="191" t="str">
        <f t="shared" si="10"/>
        <v/>
      </c>
      <c r="G102" s="185"/>
      <c r="H102" s="185"/>
      <c r="I102" s="185"/>
      <c r="K102" s="141" t="str">
        <f t="shared" si="11"/>
        <v/>
      </c>
      <c r="L102" s="141" t="str">
        <f t="shared" si="12"/>
        <v/>
      </c>
      <c r="Q102" s="6">
        <v>632310561</v>
      </c>
      <c r="R102" s="6" t="s">
        <v>118</v>
      </c>
      <c r="S102" s="6">
        <v>561</v>
      </c>
      <c r="T102" s="6" t="s">
        <v>118</v>
      </c>
      <c r="U102">
        <v>632</v>
      </c>
    </row>
    <row r="103" spans="1:21">
      <c r="A103" s="139" t="str">
        <f>IF(E103="","",VLOOKUP('Opći dio'!$C$3,'Opći dio'!$L$6:$U$136,10,FALSE))</f>
        <v/>
      </c>
      <c r="B103" s="139" t="str">
        <f>IF(E103="","",VLOOKUP('Opći dio'!$C$3,'Opći dio'!$L$6:$U$136,9,FALSE))</f>
        <v/>
      </c>
      <c r="C103" s="187" t="str">
        <f t="shared" si="8"/>
        <v/>
      </c>
      <c r="D103" s="138" t="str">
        <f t="shared" si="9"/>
        <v/>
      </c>
      <c r="E103" s="150"/>
      <c r="F103" s="191" t="str">
        <f t="shared" si="10"/>
        <v/>
      </c>
      <c r="G103" s="185"/>
      <c r="H103" s="185"/>
      <c r="I103" s="185"/>
      <c r="K103" s="141" t="str">
        <f t="shared" si="11"/>
        <v/>
      </c>
      <c r="L103" s="141" t="str">
        <f t="shared" si="12"/>
        <v/>
      </c>
      <c r="Q103" s="6">
        <v>632310563</v>
      </c>
      <c r="R103" s="6" t="s">
        <v>2331</v>
      </c>
      <c r="S103" s="6">
        <v>563</v>
      </c>
      <c r="T103" s="6" t="s">
        <v>120</v>
      </c>
      <c r="U103">
        <v>632</v>
      </c>
    </row>
    <row r="104" spans="1:21">
      <c r="A104" s="139" t="str">
        <f>IF(E104="","",VLOOKUP('Opći dio'!$C$3,'Opći dio'!$L$6:$U$136,10,FALSE))</f>
        <v/>
      </c>
      <c r="B104" s="139" t="str">
        <f>IF(E104="","",VLOOKUP('Opći dio'!$C$3,'Opći dio'!$L$6:$U$136,9,FALSE))</f>
        <v/>
      </c>
      <c r="C104" s="187" t="str">
        <f t="shared" si="8"/>
        <v/>
      </c>
      <c r="D104" s="138" t="str">
        <f t="shared" si="9"/>
        <v/>
      </c>
      <c r="E104" s="150"/>
      <c r="F104" s="191" t="str">
        <f t="shared" si="10"/>
        <v/>
      </c>
      <c r="G104" s="185"/>
      <c r="H104" s="185"/>
      <c r="I104" s="185"/>
      <c r="K104" s="141" t="str">
        <f t="shared" si="11"/>
        <v/>
      </c>
      <c r="L104" s="141" t="str">
        <f t="shared" si="12"/>
        <v/>
      </c>
      <c r="Q104" s="6">
        <v>632410561</v>
      </c>
      <c r="R104" s="6" t="s">
        <v>118</v>
      </c>
      <c r="S104" s="6">
        <v>561</v>
      </c>
      <c r="T104" s="6" t="s">
        <v>118</v>
      </c>
      <c r="U104">
        <v>632</v>
      </c>
    </row>
    <row r="105" spans="1:21">
      <c r="A105" s="139" t="str">
        <f>IF(E105="","",VLOOKUP('Opći dio'!$C$3,'Opći dio'!$L$6:$U$136,10,FALSE))</f>
        <v/>
      </c>
      <c r="B105" s="139" t="str">
        <f>IF(E105="","",VLOOKUP('Opći dio'!$C$3,'Opći dio'!$L$6:$U$136,9,FALSE))</f>
        <v/>
      </c>
      <c r="C105" s="187" t="str">
        <f t="shared" si="8"/>
        <v/>
      </c>
      <c r="D105" s="138" t="str">
        <f t="shared" si="9"/>
        <v/>
      </c>
      <c r="E105" s="150"/>
      <c r="F105" s="191" t="str">
        <f t="shared" si="10"/>
        <v/>
      </c>
      <c r="G105" s="185"/>
      <c r="H105" s="185"/>
      <c r="I105" s="185"/>
      <c r="K105" s="141" t="str">
        <f t="shared" si="11"/>
        <v/>
      </c>
      <c r="L105" s="141" t="str">
        <f t="shared" si="12"/>
        <v/>
      </c>
      <c r="Q105" s="6">
        <v>632410563</v>
      </c>
      <c r="R105" s="6" t="s">
        <v>2331</v>
      </c>
      <c r="S105" s="6">
        <v>563</v>
      </c>
      <c r="T105" s="6" t="s">
        <v>120</v>
      </c>
      <c r="U105">
        <v>632</v>
      </c>
    </row>
    <row r="106" spans="1:21">
      <c r="A106" s="139" t="str">
        <f>IF(E106="","",VLOOKUP('Opći dio'!$C$3,'Opći dio'!$L$6:$U$136,10,FALSE))</f>
        <v/>
      </c>
      <c r="B106" s="139" t="str">
        <f>IF(E106="","",VLOOKUP('Opći dio'!$C$3,'Opći dio'!$L$6:$U$136,9,FALSE))</f>
        <v/>
      </c>
      <c r="C106" s="187" t="str">
        <f t="shared" si="8"/>
        <v/>
      </c>
      <c r="D106" s="138" t="str">
        <f t="shared" si="9"/>
        <v/>
      </c>
      <c r="E106" s="150"/>
      <c r="F106" s="191" t="str">
        <f t="shared" si="10"/>
        <v/>
      </c>
      <c r="G106" s="185"/>
      <c r="H106" s="185"/>
      <c r="I106" s="185"/>
      <c r="K106" s="141" t="str">
        <f t="shared" si="11"/>
        <v/>
      </c>
      <c r="L106" s="141" t="str">
        <f t="shared" si="12"/>
        <v/>
      </c>
    </row>
    <row r="107" spans="1:21">
      <c r="A107" s="139" t="str">
        <f>IF(E107="","",VLOOKUP('Opći dio'!$C$3,'Opći dio'!$L$6:$U$136,10,FALSE))</f>
        <v/>
      </c>
      <c r="B107" s="139" t="str">
        <f>IF(E107="","",VLOOKUP('Opći dio'!$C$3,'Opći dio'!$L$6:$U$136,9,FALSE))</f>
        <v/>
      </c>
      <c r="C107" s="187" t="str">
        <f t="shared" si="8"/>
        <v/>
      </c>
      <c r="D107" s="138" t="str">
        <f t="shared" si="9"/>
        <v/>
      </c>
      <c r="E107" s="150"/>
      <c r="F107" s="191" t="str">
        <f t="shared" si="10"/>
        <v/>
      </c>
      <c r="G107" s="185"/>
      <c r="H107" s="185"/>
      <c r="I107" s="185"/>
      <c r="K107" s="141" t="str">
        <f t="shared" si="11"/>
        <v/>
      </c>
      <c r="L107" s="141" t="str">
        <f t="shared" si="12"/>
        <v/>
      </c>
    </row>
    <row r="108" spans="1:21">
      <c r="A108" s="139" t="str">
        <f>IF(E108="","",VLOOKUP('Opći dio'!$C$3,'Opći dio'!$L$6:$U$136,10,FALSE))</f>
        <v/>
      </c>
      <c r="B108" s="139" t="str">
        <f>IF(E108="","",VLOOKUP('Opći dio'!$C$3,'Opći dio'!$L$6:$U$136,9,FALSE))</f>
        <v/>
      </c>
      <c r="C108" s="187" t="str">
        <f t="shared" si="8"/>
        <v/>
      </c>
      <c r="D108" s="138" t="str">
        <f t="shared" si="9"/>
        <v/>
      </c>
      <c r="E108" s="150"/>
      <c r="F108" s="191" t="str">
        <f t="shared" si="10"/>
        <v/>
      </c>
      <c r="G108" s="185"/>
      <c r="H108" s="185"/>
      <c r="I108" s="185"/>
      <c r="K108" s="141" t="str">
        <f t="shared" si="11"/>
        <v/>
      </c>
      <c r="L108" s="141" t="str">
        <f t="shared" si="12"/>
        <v/>
      </c>
    </row>
    <row r="109" spans="1:21">
      <c r="A109" s="139" t="str">
        <f>IF(E109="","",VLOOKUP('Opći dio'!$C$3,'Opći dio'!$L$6:$U$136,10,FALSE))</f>
        <v/>
      </c>
      <c r="B109" s="139" t="str">
        <f>IF(E109="","",VLOOKUP('Opći dio'!$C$3,'Opći dio'!$L$6:$U$136,9,FALSE))</f>
        <v/>
      </c>
      <c r="C109" s="187" t="str">
        <f t="shared" si="8"/>
        <v/>
      </c>
      <c r="D109" s="138" t="str">
        <f t="shared" si="9"/>
        <v/>
      </c>
      <c r="E109" s="150"/>
      <c r="F109" s="191" t="str">
        <f t="shared" si="10"/>
        <v/>
      </c>
      <c r="G109" s="185"/>
      <c r="H109" s="185"/>
      <c r="I109" s="185"/>
      <c r="K109" s="141" t="str">
        <f t="shared" si="11"/>
        <v/>
      </c>
      <c r="L109" s="141" t="str">
        <f t="shared" si="12"/>
        <v/>
      </c>
    </row>
    <row r="110" spans="1:21">
      <c r="A110" s="139" t="str">
        <f>IF(E110="","",VLOOKUP('Opći dio'!$C$3,'Opći dio'!$L$6:$U$136,10,FALSE))</f>
        <v/>
      </c>
      <c r="B110" s="139" t="str">
        <f>IF(E110="","",VLOOKUP('Opći dio'!$C$3,'Opći dio'!$L$6:$U$136,9,FALSE))</f>
        <v/>
      </c>
      <c r="C110" s="187" t="str">
        <f t="shared" si="8"/>
        <v/>
      </c>
      <c r="D110" s="138" t="str">
        <f t="shared" si="9"/>
        <v/>
      </c>
      <c r="E110" s="150"/>
      <c r="F110" s="191" t="str">
        <f t="shared" si="10"/>
        <v/>
      </c>
      <c r="G110" s="185"/>
      <c r="H110" s="185"/>
      <c r="I110" s="185"/>
      <c r="K110" s="141" t="str">
        <f t="shared" si="11"/>
        <v/>
      </c>
      <c r="L110" s="141" t="str">
        <f t="shared" si="12"/>
        <v/>
      </c>
    </row>
    <row r="111" spans="1:21">
      <c r="A111" s="139" t="str">
        <f>IF(E111="","",VLOOKUP('Opći dio'!$C$3,'Opći dio'!$L$6:$U$136,10,FALSE))</f>
        <v/>
      </c>
      <c r="B111" s="139" t="str">
        <f>IF(E111="","",VLOOKUP('Opći dio'!$C$3,'Opći dio'!$L$6:$U$136,9,FALSE))</f>
        <v/>
      </c>
      <c r="C111" s="187" t="str">
        <f t="shared" si="8"/>
        <v/>
      </c>
      <c r="D111" s="138" t="str">
        <f t="shared" si="9"/>
        <v/>
      </c>
      <c r="E111" s="150"/>
      <c r="F111" s="191" t="str">
        <f t="shared" si="10"/>
        <v/>
      </c>
      <c r="G111" s="185"/>
      <c r="H111" s="185"/>
      <c r="I111" s="185"/>
      <c r="K111" s="141" t="str">
        <f t="shared" si="11"/>
        <v/>
      </c>
      <c r="L111" s="141" t="str">
        <f t="shared" si="12"/>
        <v/>
      </c>
    </row>
    <row r="112" spans="1:21">
      <c r="A112" s="139" t="str">
        <f>IF(E112="","",VLOOKUP('Opći dio'!$C$3,'Opći dio'!$L$6:$U$136,10,FALSE))</f>
        <v/>
      </c>
      <c r="B112" s="139" t="str">
        <f>IF(E112="","",VLOOKUP('Opći dio'!$C$3,'Opći dio'!$L$6:$U$136,9,FALSE))</f>
        <v/>
      </c>
      <c r="C112" s="187" t="str">
        <f t="shared" si="8"/>
        <v/>
      </c>
      <c r="D112" s="138" t="str">
        <f t="shared" si="9"/>
        <v/>
      </c>
      <c r="E112" s="150"/>
      <c r="F112" s="191" t="str">
        <f t="shared" si="10"/>
        <v/>
      </c>
      <c r="G112" s="185"/>
      <c r="H112" s="185"/>
      <c r="I112" s="185"/>
      <c r="K112" s="141" t="str">
        <f t="shared" si="11"/>
        <v/>
      </c>
      <c r="L112" s="141" t="str">
        <f t="shared" si="12"/>
        <v/>
      </c>
    </row>
    <row r="113" spans="1:12">
      <c r="A113" s="139" t="str">
        <f>IF(E113="","",VLOOKUP('Opći dio'!$C$3,'Opći dio'!$L$6:$U$136,10,FALSE))</f>
        <v/>
      </c>
      <c r="B113" s="139" t="str">
        <f>IF(E113="","",VLOOKUP('Opći dio'!$C$3,'Opći dio'!$L$6:$U$136,9,FALSE))</f>
        <v/>
      </c>
      <c r="C113" s="187" t="str">
        <f t="shared" si="8"/>
        <v/>
      </c>
      <c r="D113" s="138" t="str">
        <f t="shared" si="9"/>
        <v/>
      </c>
      <c r="E113" s="150"/>
      <c r="F113" s="191" t="str">
        <f t="shared" si="10"/>
        <v/>
      </c>
      <c r="G113" s="185"/>
      <c r="H113" s="185"/>
      <c r="I113" s="185"/>
      <c r="K113" s="141" t="str">
        <f t="shared" si="11"/>
        <v/>
      </c>
      <c r="L113" s="141" t="str">
        <f t="shared" si="12"/>
        <v/>
      </c>
    </row>
    <row r="114" spans="1:12">
      <c r="A114" s="139" t="str">
        <f>IF(E114="","",VLOOKUP('Opći dio'!$C$3,'Opći dio'!$L$6:$U$136,10,FALSE))</f>
        <v/>
      </c>
      <c r="B114" s="139" t="str">
        <f>IF(E114="","",VLOOKUP('Opći dio'!$C$3,'Opći dio'!$L$6:$U$136,9,FALSE))</f>
        <v/>
      </c>
      <c r="C114" s="187" t="str">
        <f t="shared" si="8"/>
        <v/>
      </c>
      <c r="D114" s="138" t="str">
        <f t="shared" si="9"/>
        <v/>
      </c>
      <c r="E114" s="150"/>
      <c r="F114" s="191" t="str">
        <f t="shared" si="10"/>
        <v/>
      </c>
      <c r="G114" s="185"/>
      <c r="H114" s="185"/>
      <c r="I114" s="185"/>
      <c r="K114" s="141" t="str">
        <f t="shared" si="11"/>
        <v/>
      </c>
      <c r="L114" s="141" t="str">
        <f t="shared" si="12"/>
        <v/>
      </c>
    </row>
    <row r="115" spans="1:12">
      <c r="A115" s="139" t="str">
        <f>IF(E115="","",VLOOKUP('Opći dio'!$C$3,'Opći dio'!$L$6:$U$136,10,FALSE))</f>
        <v/>
      </c>
      <c r="B115" s="139" t="str">
        <f>IF(E115="","",VLOOKUP('Opći dio'!$C$3,'Opći dio'!$L$6:$U$136,9,FALSE))</f>
        <v/>
      </c>
      <c r="C115" s="187" t="str">
        <f t="shared" si="8"/>
        <v/>
      </c>
      <c r="D115" s="138" t="str">
        <f t="shared" si="9"/>
        <v/>
      </c>
      <c r="E115" s="150"/>
      <c r="F115" s="191" t="str">
        <f t="shared" si="10"/>
        <v/>
      </c>
      <c r="G115" s="185"/>
      <c r="H115" s="185"/>
      <c r="I115" s="185"/>
      <c r="K115" s="141" t="str">
        <f t="shared" si="11"/>
        <v/>
      </c>
      <c r="L115" s="141" t="str">
        <f t="shared" si="12"/>
        <v/>
      </c>
    </row>
    <row r="116" spans="1:12">
      <c r="A116" s="139" t="str">
        <f>IF(E116="","",VLOOKUP('Opći dio'!$C$3,'Opći dio'!$L$6:$U$136,10,FALSE))</f>
        <v/>
      </c>
      <c r="B116" s="139" t="str">
        <f>IF(E116="","",VLOOKUP('Opći dio'!$C$3,'Opći dio'!$L$6:$U$136,9,FALSE))</f>
        <v/>
      </c>
      <c r="C116" s="187" t="str">
        <f t="shared" si="8"/>
        <v/>
      </c>
      <c r="D116" s="138" t="str">
        <f t="shared" si="9"/>
        <v/>
      </c>
      <c r="E116" s="150"/>
      <c r="F116" s="191" t="str">
        <f t="shared" si="10"/>
        <v/>
      </c>
      <c r="G116" s="185"/>
      <c r="H116" s="185"/>
      <c r="I116" s="185"/>
      <c r="K116" s="141" t="str">
        <f t="shared" si="11"/>
        <v/>
      </c>
      <c r="L116" s="141" t="str">
        <f t="shared" si="12"/>
        <v/>
      </c>
    </row>
    <row r="117" spans="1:12">
      <c r="A117" s="139" t="str">
        <f>IF(E117="","",VLOOKUP('Opći dio'!$C$3,'Opći dio'!$L$6:$U$136,10,FALSE))</f>
        <v/>
      </c>
      <c r="B117" s="139" t="str">
        <f>IF(E117="","",VLOOKUP('Opći dio'!$C$3,'Opći dio'!$L$6:$U$136,9,FALSE))</f>
        <v/>
      </c>
      <c r="C117" s="187" t="str">
        <f t="shared" si="8"/>
        <v/>
      </c>
      <c r="D117" s="138" t="str">
        <f t="shared" si="9"/>
        <v/>
      </c>
      <c r="E117" s="150"/>
      <c r="F117" s="191" t="str">
        <f t="shared" si="10"/>
        <v/>
      </c>
      <c r="G117" s="185"/>
      <c r="H117" s="185"/>
      <c r="I117" s="185"/>
      <c r="K117" s="141" t="str">
        <f t="shared" si="11"/>
        <v/>
      </c>
      <c r="L117" s="141" t="str">
        <f t="shared" si="12"/>
        <v/>
      </c>
    </row>
    <row r="118" spans="1:12">
      <c r="A118" s="139" t="str">
        <f>IF(E118="","",VLOOKUP('Opći dio'!$C$3,'Opći dio'!$L$6:$U$136,10,FALSE))</f>
        <v/>
      </c>
      <c r="B118" s="139" t="str">
        <f>IF(E118="","",VLOOKUP('Opći dio'!$C$3,'Opći dio'!$L$6:$U$136,9,FALSE))</f>
        <v/>
      </c>
      <c r="C118" s="187" t="str">
        <f t="shared" si="8"/>
        <v/>
      </c>
      <c r="D118" s="138" t="str">
        <f t="shared" si="9"/>
        <v/>
      </c>
      <c r="E118" s="150"/>
      <c r="F118" s="191" t="str">
        <f t="shared" si="10"/>
        <v/>
      </c>
      <c r="G118" s="185"/>
      <c r="H118" s="185"/>
      <c r="I118" s="185"/>
      <c r="K118" s="141" t="str">
        <f t="shared" si="11"/>
        <v/>
      </c>
      <c r="L118" s="141" t="str">
        <f t="shared" si="12"/>
        <v/>
      </c>
    </row>
    <row r="119" spans="1:12">
      <c r="A119" s="139" t="str">
        <f>IF(E119="","",VLOOKUP('Opći dio'!$C$3,'Opći dio'!$L$6:$U$136,10,FALSE))</f>
        <v/>
      </c>
      <c r="B119" s="139" t="str">
        <f>IF(E119="","",VLOOKUP('Opći dio'!$C$3,'Opći dio'!$L$6:$U$136,9,FALSE))</f>
        <v/>
      </c>
      <c r="C119" s="187" t="str">
        <f t="shared" si="8"/>
        <v/>
      </c>
      <c r="D119" s="138" t="str">
        <f t="shared" si="9"/>
        <v/>
      </c>
      <c r="E119" s="150"/>
      <c r="F119" s="191" t="str">
        <f t="shared" si="10"/>
        <v/>
      </c>
      <c r="G119" s="185"/>
      <c r="H119" s="185"/>
      <c r="I119" s="185"/>
      <c r="K119" s="141" t="str">
        <f t="shared" si="11"/>
        <v/>
      </c>
      <c r="L119" s="141" t="str">
        <f t="shared" si="12"/>
        <v/>
      </c>
    </row>
    <row r="120" spans="1:12">
      <c r="A120" s="139" t="str">
        <f>IF(E120="","",VLOOKUP('Opći dio'!$C$3,'Opći dio'!$L$6:$U$136,10,FALSE))</f>
        <v/>
      </c>
      <c r="B120" s="139" t="str">
        <f>IF(E120="","",VLOOKUP('Opći dio'!$C$3,'Opći dio'!$L$6:$U$136,9,FALSE))</f>
        <v/>
      </c>
      <c r="C120" s="187" t="str">
        <f t="shared" si="8"/>
        <v/>
      </c>
      <c r="D120" s="138" t="str">
        <f t="shared" si="9"/>
        <v/>
      </c>
      <c r="E120" s="150"/>
      <c r="F120" s="191" t="str">
        <f t="shared" si="10"/>
        <v/>
      </c>
      <c r="G120" s="185"/>
      <c r="H120" s="185"/>
      <c r="I120" s="185"/>
      <c r="K120" s="141" t="str">
        <f t="shared" si="11"/>
        <v/>
      </c>
      <c r="L120" s="141" t="str">
        <f t="shared" si="12"/>
        <v/>
      </c>
    </row>
    <row r="121" spans="1:12">
      <c r="A121" s="139" t="str">
        <f>IF(E121="","",VLOOKUP('Opći dio'!$C$3,'Opći dio'!$L$6:$U$136,10,FALSE))</f>
        <v/>
      </c>
      <c r="B121" s="139" t="str">
        <f>IF(E121="","",VLOOKUP('Opći dio'!$C$3,'Opći dio'!$L$6:$U$136,9,FALSE))</f>
        <v/>
      </c>
      <c r="C121" s="187" t="str">
        <f t="shared" si="8"/>
        <v/>
      </c>
      <c r="D121" s="138" t="str">
        <f t="shared" si="9"/>
        <v/>
      </c>
      <c r="E121" s="150"/>
      <c r="F121" s="191" t="str">
        <f t="shared" si="10"/>
        <v/>
      </c>
      <c r="G121" s="185"/>
      <c r="H121" s="185"/>
      <c r="I121" s="185"/>
      <c r="K121" s="141" t="str">
        <f t="shared" si="11"/>
        <v/>
      </c>
      <c r="L121" s="141" t="str">
        <f t="shared" si="12"/>
        <v/>
      </c>
    </row>
    <row r="122" spans="1:12">
      <c r="A122" s="139" t="str">
        <f>IF(E122="","",VLOOKUP('Opći dio'!$C$3,'Opći dio'!$L$6:$U$136,10,FALSE))</f>
        <v/>
      </c>
      <c r="B122" s="139" t="str">
        <f>IF(E122="","",VLOOKUP('Opći dio'!$C$3,'Opći dio'!$L$6:$U$136,9,FALSE))</f>
        <v/>
      </c>
      <c r="C122" s="187" t="str">
        <f t="shared" si="8"/>
        <v/>
      </c>
      <c r="D122" s="138" t="str">
        <f t="shared" si="9"/>
        <v/>
      </c>
      <c r="E122" s="150"/>
      <c r="F122" s="191" t="str">
        <f t="shared" si="10"/>
        <v/>
      </c>
      <c r="G122" s="185"/>
      <c r="H122" s="185"/>
      <c r="I122" s="185"/>
      <c r="K122" s="141" t="str">
        <f t="shared" si="11"/>
        <v/>
      </c>
      <c r="L122" s="141" t="str">
        <f t="shared" si="12"/>
        <v/>
      </c>
    </row>
    <row r="123" spans="1:12">
      <c r="A123" s="139" t="str">
        <f>IF(E123="","",VLOOKUP('Opći dio'!$C$3,'Opći dio'!$L$6:$U$136,10,FALSE))</f>
        <v/>
      </c>
      <c r="B123" s="139" t="str">
        <f>IF(E123="","",VLOOKUP('Opći dio'!$C$3,'Opći dio'!$L$6:$U$136,9,FALSE))</f>
        <v/>
      </c>
      <c r="C123" s="187" t="str">
        <f t="shared" si="8"/>
        <v/>
      </c>
      <c r="D123" s="138" t="str">
        <f t="shared" si="9"/>
        <v/>
      </c>
      <c r="E123" s="150"/>
      <c r="F123" s="191" t="str">
        <f t="shared" si="10"/>
        <v/>
      </c>
      <c r="G123" s="185"/>
      <c r="H123" s="185"/>
      <c r="I123" s="185"/>
      <c r="K123" s="141" t="str">
        <f t="shared" si="11"/>
        <v/>
      </c>
      <c r="L123" s="141" t="str">
        <f t="shared" si="12"/>
        <v/>
      </c>
    </row>
    <row r="124" spans="1:12">
      <c r="A124" s="139" t="str">
        <f>IF(E124="","",VLOOKUP('Opći dio'!$C$3,'Opći dio'!$L$6:$U$136,10,FALSE))</f>
        <v/>
      </c>
      <c r="B124" s="139" t="str">
        <f>IF(E124="","",VLOOKUP('Opći dio'!$C$3,'Opći dio'!$L$6:$U$136,9,FALSE))</f>
        <v/>
      </c>
      <c r="C124" s="187" t="str">
        <f t="shared" si="8"/>
        <v/>
      </c>
      <c r="D124" s="138" t="str">
        <f t="shared" si="9"/>
        <v/>
      </c>
      <c r="E124" s="150"/>
      <c r="F124" s="191" t="str">
        <f t="shared" si="10"/>
        <v/>
      </c>
      <c r="G124" s="185"/>
      <c r="H124" s="185"/>
      <c r="I124" s="185"/>
      <c r="K124" s="141" t="str">
        <f t="shared" si="11"/>
        <v/>
      </c>
      <c r="L124" s="141" t="str">
        <f t="shared" si="12"/>
        <v/>
      </c>
    </row>
    <row r="125" spans="1:12">
      <c r="A125" s="139" t="str">
        <f>IF(E125="","",VLOOKUP('Opći dio'!$C$3,'Opći dio'!$L$6:$U$136,10,FALSE))</f>
        <v/>
      </c>
      <c r="B125" s="139" t="str">
        <f>IF(E125="","",VLOOKUP('Opći dio'!$C$3,'Opći dio'!$L$6:$U$136,9,FALSE))</f>
        <v/>
      </c>
      <c r="C125" s="187" t="str">
        <f t="shared" si="8"/>
        <v/>
      </c>
      <c r="D125" s="138" t="str">
        <f t="shared" si="9"/>
        <v/>
      </c>
      <c r="E125" s="150"/>
      <c r="F125" s="191" t="str">
        <f t="shared" si="10"/>
        <v/>
      </c>
      <c r="G125" s="185"/>
      <c r="H125" s="185"/>
      <c r="I125" s="185"/>
      <c r="K125" s="141" t="str">
        <f t="shared" si="11"/>
        <v/>
      </c>
      <c r="L125" s="141" t="str">
        <f t="shared" si="12"/>
        <v/>
      </c>
    </row>
    <row r="126" spans="1:12">
      <c r="A126" s="139" t="str">
        <f>IF(E126="","",VLOOKUP('Opći dio'!$C$3,'Opći dio'!$L$6:$U$136,10,FALSE))</f>
        <v/>
      </c>
      <c r="B126" s="139" t="str">
        <f>IF(E126="","",VLOOKUP('Opći dio'!$C$3,'Opći dio'!$L$6:$U$136,9,FALSE))</f>
        <v/>
      </c>
      <c r="C126" s="187" t="str">
        <f t="shared" si="8"/>
        <v/>
      </c>
      <c r="D126" s="138" t="str">
        <f t="shared" si="9"/>
        <v/>
      </c>
      <c r="E126" s="150"/>
      <c r="F126" s="191" t="str">
        <f t="shared" si="10"/>
        <v/>
      </c>
      <c r="G126" s="185"/>
      <c r="H126" s="185"/>
      <c r="I126" s="185"/>
      <c r="K126" s="141" t="str">
        <f t="shared" si="11"/>
        <v/>
      </c>
      <c r="L126" s="141" t="str">
        <f t="shared" si="12"/>
        <v/>
      </c>
    </row>
    <row r="127" spans="1:12">
      <c r="A127" s="139" t="str">
        <f>IF(E127="","",VLOOKUP('Opći dio'!$C$3,'Opći dio'!$L$6:$U$136,10,FALSE))</f>
        <v/>
      </c>
      <c r="B127" s="139" t="str">
        <f>IF(E127="","",VLOOKUP('Opći dio'!$C$3,'Opći dio'!$L$6:$U$136,9,FALSE))</f>
        <v/>
      </c>
      <c r="C127" s="187" t="str">
        <f t="shared" si="8"/>
        <v/>
      </c>
      <c r="D127" s="138" t="str">
        <f t="shared" si="9"/>
        <v/>
      </c>
      <c r="E127" s="150"/>
      <c r="F127" s="191" t="str">
        <f t="shared" si="10"/>
        <v/>
      </c>
      <c r="G127" s="185"/>
      <c r="H127" s="185"/>
      <c r="I127" s="185"/>
      <c r="K127" s="141" t="str">
        <f t="shared" si="11"/>
        <v/>
      </c>
      <c r="L127" s="141" t="str">
        <f t="shared" si="12"/>
        <v/>
      </c>
    </row>
    <row r="128" spans="1:12">
      <c r="A128" s="139" t="str">
        <f>IF(E128="","",VLOOKUP('Opći dio'!$C$3,'Opći dio'!$L$6:$U$136,10,FALSE))</f>
        <v/>
      </c>
      <c r="B128" s="139" t="str">
        <f>IF(E128="","",VLOOKUP('Opći dio'!$C$3,'Opći dio'!$L$6:$U$136,9,FALSE))</f>
        <v/>
      </c>
      <c r="C128" s="187" t="str">
        <f t="shared" si="8"/>
        <v/>
      </c>
      <c r="D128" s="138" t="str">
        <f t="shared" si="9"/>
        <v/>
      </c>
      <c r="E128" s="150"/>
      <c r="F128" s="191" t="str">
        <f t="shared" si="10"/>
        <v/>
      </c>
      <c r="G128" s="185"/>
      <c r="H128" s="185"/>
      <c r="I128" s="185"/>
      <c r="K128" s="141" t="str">
        <f t="shared" si="11"/>
        <v/>
      </c>
      <c r="L128" s="141" t="str">
        <f t="shared" si="12"/>
        <v/>
      </c>
    </row>
    <row r="129" spans="1:12">
      <c r="A129" s="139" t="str">
        <f>IF(E129="","",VLOOKUP('Opći dio'!$C$3,'Opći dio'!$L$6:$U$136,10,FALSE))</f>
        <v/>
      </c>
      <c r="B129" s="139" t="str">
        <f>IF(E129="","",VLOOKUP('Opći dio'!$C$3,'Opći dio'!$L$6:$U$136,9,FALSE))</f>
        <v/>
      </c>
      <c r="C129" s="187" t="str">
        <f t="shared" si="8"/>
        <v/>
      </c>
      <c r="D129" s="138" t="str">
        <f t="shared" si="9"/>
        <v/>
      </c>
      <c r="E129" s="150"/>
      <c r="F129" s="191" t="str">
        <f t="shared" si="10"/>
        <v/>
      </c>
      <c r="G129" s="185"/>
      <c r="H129" s="185"/>
      <c r="I129" s="185"/>
      <c r="K129" s="141" t="str">
        <f t="shared" si="11"/>
        <v/>
      </c>
      <c r="L129" s="141" t="str">
        <f t="shared" si="12"/>
        <v/>
      </c>
    </row>
    <row r="130" spans="1:12">
      <c r="A130" s="139" t="str">
        <f>IF(E130="","",VLOOKUP('Opći dio'!$C$3,'Opći dio'!$L$6:$U$136,10,FALSE))</f>
        <v/>
      </c>
      <c r="B130" s="139" t="str">
        <f>IF(E130="","",VLOOKUP('Opći dio'!$C$3,'Opći dio'!$L$6:$U$136,9,FALSE))</f>
        <v/>
      </c>
      <c r="C130" s="187" t="str">
        <f t="shared" si="8"/>
        <v/>
      </c>
      <c r="D130" s="138" t="str">
        <f t="shared" si="9"/>
        <v/>
      </c>
      <c r="E130" s="150"/>
      <c r="F130" s="191" t="str">
        <f t="shared" si="10"/>
        <v/>
      </c>
      <c r="G130" s="185"/>
      <c r="H130" s="185"/>
      <c r="I130" s="185"/>
      <c r="K130" s="141" t="str">
        <f t="shared" si="11"/>
        <v/>
      </c>
      <c r="L130" s="141" t="str">
        <f t="shared" si="12"/>
        <v/>
      </c>
    </row>
    <row r="131" spans="1:12">
      <c r="A131" s="139" t="str">
        <f>IF(E131="","",VLOOKUP('Opći dio'!$C$3,'Opći dio'!$L$6:$U$136,10,FALSE))</f>
        <v/>
      </c>
      <c r="B131" s="139" t="str">
        <f>IF(E131="","",VLOOKUP('Opći dio'!$C$3,'Opći dio'!$L$6:$U$136,9,FALSE))</f>
        <v/>
      </c>
      <c r="C131" s="187" t="str">
        <f t="shared" si="8"/>
        <v/>
      </c>
      <c r="D131" s="138" t="str">
        <f t="shared" si="9"/>
        <v/>
      </c>
      <c r="E131" s="150"/>
      <c r="F131" s="191" t="str">
        <f t="shared" si="10"/>
        <v/>
      </c>
      <c r="G131" s="185"/>
      <c r="H131" s="185"/>
      <c r="I131" s="185"/>
      <c r="K131" s="141" t="str">
        <f t="shared" si="11"/>
        <v/>
      </c>
      <c r="L131" s="141" t="str">
        <f t="shared" si="12"/>
        <v/>
      </c>
    </row>
    <row r="132" spans="1:12">
      <c r="A132" s="139" t="str">
        <f>IF(E132="","",VLOOKUP('Opći dio'!$C$3,'Opći dio'!$L$6:$U$136,10,FALSE))</f>
        <v/>
      </c>
      <c r="B132" s="139" t="str">
        <f>IF(E132="","",VLOOKUP('Opći dio'!$C$3,'Opći dio'!$L$6:$U$136,9,FALSE))</f>
        <v/>
      </c>
      <c r="C132" s="187" t="str">
        <f t="shared" ref="C132:C195" si="13">IFERROR(VLOOKUP(E132,$Q$6:$T$200,3,FALSE),"")</f>
        <v/>
      </c>
      <c r="D132" s="138" t="str">
        <f t="shared" ref="D132:D195" si="14">IFERROR(VLOOKUP(E132,$Q$6:$T$200,4,FALSE),"")</f>
        <v/>
      </c>
      <c r="E132" s="150"/>
      <c r="F132" s="191" t="str">
        <f t="shared" ref="F132:F195" si="15">IFERROR(VLOOKUP(E132,$Q$6:$T$200,2,FALSE),"")</f>
        <v/>
      </c>
      <c r="G132" s="185"/>
      <c r="H132" s="185"/>
      <c r="I132" s="185"/>
      <c r="K132" s="141" t="str">
        <f t="shared" ref="K132:K195" si="16">LEFT(E132,3)</f>
        <v/>
      </c>
      <c r="L132" s="141" t="str">
        <f t="shared" ref="L132:L195" si="17">LEFT(E132,2)</f>
        <v/>
      </c>
    </row>
    <row r="133" spans="1:12">
      <c r="A133" s="139" t="str">
        <f>IF(E133="","",VLOOKUP('Opći dio'!$C$3,'Opći dio'!$L$6:$U$136,10,FALSE))</f>
        <v/>
      </c>
      <c r="B133" s="139" t="str">
        <f>IF(E133="","",VLOOKUP('Opći dio'!$C$3,'Opći dio'!$L$6:$U$136,9,FALSE))</f>
        <v/>
      </c>
      <c r="C133" s="187" t="str">
        <f t="shared" si="13"/>
        <v/>
      </c>
      <c r="D133" s="138" t="str">
        <f t="shared" si="14"/>
        <v/>
      </c>
      <c r="E133" s="150"/>
      <c r="F133" s="191" t="str">
        <f t="shared" si="15"/>
        <v/>
      </c>
      <c r="G133" s="185"/>
      <c r="H133" s="185"/>
      <c r="I133" s="185"/>
      <c r="K133" s="141" t="str">
        <f t="shared" si="16"/>
        <v/>
      </c>
      <c r="L133" s="141" t="str">
        <f t="shared" si="17"/>
        <v/>
      </c>
    </row>
    <row r="134" spans="1:12">
      <c r="A134" s="139" t="str">
        <f>IF(E134="","",VLOOKUP('Opći dio'!$C$3,'Opći dio'!$L$6:$U$136,10,FALSE))</f>
        <v/>
      </c>
      <c r="B134" s="139" t="str">
        <f>IF(E134="","",VLOOKUP('Opći dio'!$C$3,'Opći dio'!$L$6:$U$136,9,FALSE))</f>
        <v/>
      </c>
      <c r="C134" s="187" t="str">
        <f t="shared" si="13"/>
        <v/>
      </c>
      <c r="D134" s="138" t="str">
        <f t="shared" si="14"/>
        <v/>
      </c>
      <c r="E134" s="150"/>
      <c r="F134" s="191" t="str">
        <f t="shared" si="15"/>
        <v/>
      </c>
      <c r="G134" s="185"/>
      <c r="H134" s="185"/>
      <c r="I134" s="185"/>
      <c r="K134" s="141" t="str">
        <f t="shared" si="16"/>
        <v/>
      </c>
      <c r="L134" s="141" t="str">
        <f t="shared" si="17"/>
        <v/>
      </c>
    </row>
    <row r="135" spans="1:12">
      <c r="A135" s="139" t="str">
        <f>IF(E135="","",VLOOKUP('Opći dio'!$C$3,'Opći dio'!$L$6:$U$136,10,FALSE))</f>
        <v/>
      </c>
      <c r="B135" s="139" t="str">
        <f>IF(E135="","",VLOOKUP('Opći dio'!$C$3,'Opći dio'!$L$6:$U$136,9,FALSE))</f>
        <v/>
      </c>
      <c r="C135" s="187" t="str">
        <f t="shared" si="13"/>
        <v/>
      </c>
      <c r="D135" s="138" t="str">
        <f t="shared" si="14"/>
        <v/>
      </c>
      <c r="E135" s="150"/>
      <c r="F135" s="191" t="str">
        <f t="shared" si="15"/>
        <v/>
      </c>
      <c r="G135" s="185"/>
      <c r="H135" s="185"/>
      <c r="I135" s="185"/>
      <c r="K135" s="141" t="str">
        <f t="shared" si="16"/>
        <v/>
      </c>
      <c r="L135" s="141" t="str">
        <f t="shared" si="17"/>
        <v/>
      </c>
    </row>
    <row r="136" spans="1:12">
      <c r="A136" s="139" t="str">
        <f>IF(E136="","",VLOOKUP('Opći dio'!$C$3,'Opći dio'!$L$6:$U$136,10,FALSE))</f>
        <v/>
      </c>
      <c r="B136" s="139" t="str">
        <f>IF(E136="","",VLOOKUP('Opći dio'!$C$3,'Opći dio'!$L$6:$U$136,9,FALSE))</f>
        <v/>
      </c>
      <c r="C136" s="187" t="str">
        <f t="shared" si="13"/>
        <v/>
      </c>
      <c r="D136" s="138" t="str">
        <f t="shared" si="14"/>
        <v/>
      </c>
      <c r="E136" s="150"/>
      <c r="F136" s="191" t="str">
        <f t="shared" si="15"/>
        <v/>
      </c>
      <c r="G136" s="185"/>
      <c r="H136" s="185"/>
      <c r="I136" s="185"/>
      <c r="K136" s="141" t="str">
        <f t="shared" si="16"/>
        <v/>
      </c>
      <c r="L136" s="141" t="str">
        <f t="shared" si="17"/>
        <v/>
      </c>
    </row>
    <row r="137" spans="1:12">
      <c r="A137" s="139" t="str">
        <f>IF(E137="","",VLOOKUP('Opći dio'!$C$3,'Opći dio'!$L$6:$U$136,10,FALSE))</f>
        <v/>
      </c>
      <c r="B137" s="139" t="str">
        <f>IF(E137="","",VLOOKUP('Opći dio'!$C$3,'Opći dio'!$L$6:$U$136,9,FALSE))</f>
        <v/>
      </c>
      <c r="C137" s="187" t="str">
        <f t="shared" si="13"/>
        <v/>
      </c>
      <c r="D137" s="138" t="str">
        <f t="shared" si="14"/>
        <v/>
      </c>
      <c r="E137" s="150"/>
      <c r="F137" s="191" t="str">
        <f t="shared" si="15"/>
        <v/>
      </c>
      <c r="G137" s="185"/>
      <c r="H137" s="185"/>
      <c r="I137" s="185"/>
      <c r="K137" s="141" t="str">
        <f t="shared" si="16"/>
        <v/>
      </c>
      <c r="L137" s="141" t="str">
        <f t="shared" si="17"/>
        <v/>
      </c>
    </row>
    <row r="138" spans="1:12">
      <c r="A138" s="139" t="str">
        <f>IF(E138="","",VLOOKUP('Opći dio'!$C$3,'Opći dio'!$L$6:$U$136,10,FALSE))</f>
        <v/>
      </c>
      <c r="B138" s="139" t="str">
        <f>IF(E138="","",VLOOKUP('Opći dio'!$C$3,'Opći dio'!$L$6:$U$136,9,FALSE))</f>
        <v/>
      </c>
      <c r="C138" s="187" t="str">
        <f t="shared" si="13"/>
        <v/>
      </c>
      <c r="D138" s="138" t="str">
        <f t="shared" si="14"/>
        <v/>
      </c>
      <c r="E138" s="150"/>
      <c r="F138" s="191" t="str">
        <f t="shared" si="15"/>
        <v/>
      </c>
      <c r="G138" s="185"/>
      <c r="H138" s="185"/>
      <c r="I138" s="185"/>
      <c r="K138" s="141" t="str">
        <f t="shared" si="16"/>
        <v/>
      </c>
      <c r="L138" s="141" t="str">
        <f t="shared" si="17"/>
        <v/>
      </c>
    </row>
    <row r="139" spans="1:12">
      <c r="A139" s="139" t="str">
        <f>IF(E139="","",VLOOKUP('Opći dio'!$C$3,'Opći dio'!$L$6:$U$136,10,FALSE))</f>
        <v/>
      </c>
      <c r="B139" s="139" t="str">
        <f>IF(E139="","",VLOOKUP('Opći dio'!$C$3,'Opći dio'!$L$6:$U$136,9,FALSE))</f>
        <v/>
      </c>
      <c r="C139" s="187" t="str">
        <f t="shared" si="13"/>
        <v/>
      </c>
      <c r="D139" s="138" t="str">
        <f t="shared" si="14"/>
        <v/>
      </c>
      <c r="E139" s="150"/>
      <c r="F139" s="191" t="str">
        <f t="shared" si="15"/>
        <v/>
      </c>
      <c r="G139" s="185"/>
      <c r="H139" s="185"/>
      <c r="I139" s="185"/>
      <c r="K139" s="141" t="str">
        <f t="shared" si="16"/>
        <v/>
      </c>
      <c r="L139" s="141" t="str">
        <f t="shared" si="17"/>
        <v/>
      </c>
    </row>
    <row r="140" spans="1:12">
      <c r="A140" s="139" t="str">
        <f>IF(E140="","",VLOOKUP('Opći dio'!$C$3,'Opći dio'!$L$6:$U$136,10,FALSE))</f>
        <v/>
      </c>
      <c r="B140" s="139" t="str">
        <f>IF(E140="","",VLOOKUP('Opći dio'!$C$3,'Opći dio'!$L$6:$U$136,9,FALSE))</f>
        <v/>
      </c>
      <c r="C140" s="187" t="str">
        <f t="shared" si="13"/>
        <v/>
      </c>
      <c r="D140" s="138" t="str">
        <f t="shared" si="14"/>
        <v/>
      </c>
      <c r="E140" s="150"/>
      <c r="F140" s="191" t="str">
        <f t="shared" si="15"/>
        <v/>
      </c>
      <c r="G140" s="185"/>
      <c r="H140" s="185"/>
      <c r="I140" s="185"/>
      <c r="K140" s="141" t="str">
        <f t="shared" si="16"/>
        <v/>
      </c>
      <c r="L140" s="141" t="str">
        <f t="shared" si="17"/>
        <v/>
      </c>
    </row>
    <row r="141" spans="1:12">
      <c r="A141" s="139" t="str">
        <f>IF(E141="","",VLOOKUP('Opći dio'!$C$3,'Opći dio'!$L$6:$U$136,10,FALSE))</f>
        <v/>
      </c>
      <c r="B141" s="139" t="str">
        <f>IF(E141="","",VLOOKUP('Opći dio'!$C$3,'Opći dio'!$L$6:$U$136,9,FALSE))</f>
        <v/>
      </c>
      <c r="C141" s="187" t="str">
        <f t="shared" si="13"/>
        <v/>
      </c>
      <c r="D141" s="138" t="str">
        <f t="shared" si="14"/>
        <v/>
      </c>
      <c r="E141" s="150"/>
      <c r="F141" s="191" t="str">
        <f t="shared" si="15"/>
        <v/>
      </c>
      <c r="G141" s="185"/>
      <c r="H141" s="185"/>
      <c r="I141" s="185"/>
      <c r="K141" s="141" t="str">
        <f t="shared" si="16"/>
        <v/>
      </c>
      <c r="L141" s="141" t="str">
        <f t="shared" si="17"/>
        <v/>
      </c>
    </row>
    <row r="142" spans="1:12">
      <c r="A142" s="139" t="str">
        <f>IF(E142="","",VLOOKUP('Opći dio'!$C$3,'Opći dio'!$L$6:$U$136,10,FALSE))</f>
        <v/>
      </c>
      <c r="B142" s="139" t="str">
        <f>IF(E142="","",VLOOKUP('Opći dio'!$C$3,'Opći dio'!$L$6:$U$136,9,FALSE))</f>
        <v/>
      </c>
      <c r="C142" s="187" t="str">
        <f t="shared" si="13"/>
        <v/>
      </c>
      <c r="D142" s="138" t="str">
        <f t="shared" si="14"/>
        <v/>
      </c>
      <c r="E142" s="150"/>
      <c r="F142" s="191" t="str">
        <f t="shared" si="15"/>
        <v/>
      </c>
      <c r="G142" s="185"/>
      <c r="H142" s="185"/>
      <c r="I142" s="185"/>
      <c r="K142" s="141" t="str">
        <f t="shared" si="16"/>
        <v/>
      </c>
      <c r="L142" s="141" t="str">
        <f t="shared" si="17"/>
        <v/>
      </c>
    </row>
    <row r="143" spans="1:12">
      <c r="A143" s="139" t="str">
        <f>IF(E143="","",VLOOKUP('Opći dio'!$C$3,'Opći dio'!$L$6:$U$136,10,FALSE))</f>
        <v/>
      </c>
      <c r="B143" s="139" t="str">
        <f>IF(E143="","",VLOOKUP('Opći dio'!$C$3,'Opći dio'!$L$6:$U$136,9,FALSE))</f>
        <v/>
      </c>
      <c r="C143" s="187" t="str">
        <f t="shared" si="13"/>
        <v/>
      </c>
      <c r="D143" s="138" t="str">
        <f t="shared" si="14"/>
        <v/>
      </c>
      <c r="E143" s="150"/>
      <c r="F143" s="191" t="str">
        <f t="shared" si="15"/>
        <v/>
      </c>
      <c r="G143" s="185"/>
      <c r="H143" s="185"/>
      <c r="I143" s="185"/>
      <c r="K143" s="141" t="str">
        <f t="shared" si="16"/>
        <v/>
      </c>
      <c r="L143" s="141" t="str">
        <f t="shared" si="17"/>
        <v/>
      </c>
    </row>
    <row r="144" spans="1:12">
      <c r="A144" s="139" t="str">
        <f>IF(E144="","",VLOOKUP('Opći dio'!$C$3,'Opći dio'!$L$6:$U$136,10,FALSE))</f>
        <v/>
      </c>
      <c r="B144" s="139" t="str">
        <f>IF(E144="","",VLOOKUP('Opći dio'!$C$3,'Opći dio'!$L$6:$U$136,9,FALSE))</f>
        <v/>
      </c>
      <c r="C144" s="187" t="str">
        <f t="shared" si="13"/>
        <v/>
      </c>
      <c r="D144" s="138" t="str">
        <f t="shared" si="14"/>
        <v/>
      </c>
      <c r="E144" s="150"/>
      <c r="F144" s="191" t="str">
        <f t="shared" si="15"/>
        <v/>
      </c>
      <c r="G144" s="185"/>
      <c r="H144" s="185"/>
      <c r="I144" s="185"/>
      <c r="K144" s="141" t="str">
        <f t="shared" si="16"/>
        <v/>
      </c>
      <c r="L144" s="141" t="str">
        <f t="shared" si="17"/>
        <v/>
      </c>
    </row>
    <row r="145" spans="1:12">
      <c r="A145" s="139" t="str">
        <f>IF(E145="","",VLOOKUP('Opći dio'!$C$3,'Opći dio'!$L$6:$U$136,10,FALSE))</f>
        <v/>
      </c>
      <c r="B145" s="139" t="str">
        <f>IF(E145="","",VLOOKUP('Opći dio'!$C$3,'Opći dio'!$L$6:$U$136,9,FALSE))</f>
        <v/>
      </c>
      <c r="C145" s="187" t="str">
        <f t="shared" si="13"/>
        <v/>
      </c>
      <c r="D145" s="138" t="str">
        <f t="shared" si="14"/>
        <v/>
      </c>
      <c r="E145" s="150"/>
      <c r="F145" s="191" t="str">
        <f t="shared" si="15"/>
        <v/>
      </c>
      <c r="G145" s="185"/>
      <c r="H145" s="185"/>
      <c r="I145" s="185"/>
      <c r="K145" s="141" t="str">
        <f t="shared" si="16"/>
        <v/>
      </c>
      <c r="L145" s="141" t="str">
        <f t="shared" si="17"/>
        <v/>
      </c>
    </row>
    <row r="146" spans="1:12">
      <c r="A146" s="139" t="str">
        <f>IF(E146="","",VLOOKUP('Opći dio'!$C$3,'Opći dio'!$L$6:$U$136,10,FALSE))</f>
        <v/>
      </c>
      <c r="B146" s="139" t="str">
        <f>IF(E146="","",VLOOKUP('Opći dio'!$C$3,'Opći dio'!$L$6:$U$136,9,FALSE))</f>
        <v/>
      </c>
      <c r="C146" s="187" t="str">
        <f t="shared" si="13"/>
        <v/>
      </c>
      <c r="D146" s="138" t="str">
        <f t="shared" si="14"/>
        <v/>
      </c>
      <c r="E146" s="150"/>
      <c r="F146" s="191" t="str">
        <f t="shared" si="15"/>
        <v/>
      </c>
      <c r="G146" s="185"/>
      <c r="H146" s="185"/>
      <c r="I146" s="185"/>
      <c r="K146" s="141" t="str">
        <f t="shared" si="16"/>
        <v/>
      </c>
      <c r="L146" s="141" t="str">
        <f t="shared" si="17"/>
        <v/>
      </c>
    </row>
    <row r="147" spans="1:12">
      <c r="A147" s="139" t="str">
        <f>IF(E147="","",VLOOKUP('Opći dio'!$C$3,'Opći dio'!$L$6:$U$136,10,FALSE))</f>
        <v/>
      </c>
      <c r="B147" s="139" t="str">
        <f>IF(E147="","",VLOOKUP('Opći dio'!$C$3,'Opći dio'!$L$6:$U$136,9,FALSE))</f>
        <v/>
      </c>
      <c r="C147" s="187" t="str">
        <f t="shared" si="13"/>
        <v/>
      </c>
      <c r="D147" s="138" t="str">
        <f t="shared" si="14"/>
        <v/>
      </c>
      <c r="E147" s="150"/>
      <c r="F147" s="191" t="str">
        <f t="shared" si="15"/>
        <v/>
      </c>
      <c r="G147" s="185"/>
      <c r="H147" s="185"/>
      <c r="I147" s="185"/>
      <c r="K147" s="141" t="str">
        <f t="shared" si="16"/>
        <v/>
      </c>
      <c r="L147" s="141" t="str">
        <f t="shared" si="17"/>
        <v/>
      </c>
    </row>
    <row r="148" spans="1:12">
      <c r="A148" s="139" t="str">
        <f>IF(E148="","",VLOOKUP('Opći dio'!$C$3,'Opći dio'!$L$6:$U$136,10,FALSE))</f>
        <v/>
      </c>
      <c r="B148" s="139" t="str">
        <f>IF(E148="","",VLOOKUP('Opći dio'!$C$3,'Opći dio'!$L$6:$U$136,9,FALSE))</f>
        <v/>
      </c>
      <c r="C148" s="187" t="str">
        <f t="shared" si="13"/>
        <v/>
      </c>
      <c r="D148" s="138" t="str">
        <f t="shared" si="14"/>
        <v/>
      </c>
      <c r="E148" s="150"/>
      <c r="F148" s="191" t="str">
        <f t="shared" si="15"/>
        <v/>
      </c>
      <c r="G148" s="185"/>
      <c r="H148" s="185"/>
      <c r="I148" s="185"/>
      <c r="K148" s="141" t="str">
        <f t="shared" si="16"/>
        <v/>
      </c>
      <c r="L148" s="141" t="str">
        <f t="shared" si="17"/>
        <v/>
      </c>
    </row>
    <row r="149" spans="1:12">
      <c r="A149" s="139" t="str">
        <f>IF(E149="","",VLOOKUP('Opći dio'!$C$3,'Opći dio'!$L$6:$U$136,10,FALSE))</f>
        <v/>
      </c>
      <c r="B149" s="139" t="str">
        <f>IF(E149="","",VLOOKUP('Opći dio'!$C$3,'Opći dio'!$L$6:$U$136,9,FALSE))</f>
        <v/>
      </c>
      <c r="C149" s="187" t="str">
        <f t="shared" si="13"/>
        <v/>
      </c>
      <c r="D149" s="138" t="str">
        <f t="shared" si="14"/>
        <v/>
      </c>
      <c r="E149" s="150"/>
      <c r="F149" s="191" t="str">
        <f t="shared" si="15"/>
        <v/>
      </c>
      <c r="G149" s="185"/>
      <c r="H149" s="185"/>
      <c r="I149" s="185"/>
      <c r="K149" s="141" t="str">
        <f t="shared" si="16"/>
        <v/>
      </c>
      <c r="L149" s="141" t="str">
        <f t="shared" si="17"/>
        <v/>
      </c>
    </row>
    <row r="150" spans="1:12">
      <c r="A150" s="139" t="str">
        <f>IF(E150="","",VLOOKUP('Opći dio'!$C$3,'Opći dio'!$L$6:$U$136,10,FALSE))</f>
        <v/>
      </c>
      <c r="B150" s="139" t="str">
        <f>IF(E150="","",VLOOKUP('Opći dio'!$C$3,'Opći dio'!$L$6:$U$136,9,FALSE))</f>
        <v/>
      </c>
      <c r="C150" s="187" t="str">
        <f t="shared" si="13"/>
        <v/>
      </c>
      <c r="D150" s="138" t="str">
        <f t="shared" si="14"/>
        <v/>
      </c>
      <c r="E150" s="150"/>
      <c r="F150" s="191" t="str">
        <f t="shared" si="15"/>
        <v/>
      </c>
      <c r="G150" s="185"/>
      <c r="H150" s="185"/>
      <c r="I150" s="185"/>
      <c r="K150" s="141" t="str">
        <f t="shared" si="16"/>
        <v/>
      </c>
      <c r="L150" s="141" t="str">
        <f t="shared" si="17"/>
        <v/>
      </c>
    </row>
    <row r="151" spans="1:12">
      <c r="A151" s="139" t="str">
        <f>IF(E151="","",VLOOKUP('Opći dio'!$C$3,'Opći dio'!$L$6:$U$136,10,FALSE))</f>
        <v/>
      </c>
      <c r="B151" s="139" t="str">
        <f>IF(E151="","",VLOOKUP('Opći dio'!$C$3,'Opći dio'!$L$6:$U$136,9,FALSE))</f>
        <v/>
      </c>
      <c r="C151" s="187" t="str">
        <f t="shared" si="13"/>
        <v/>
      </c>
      <c r="D151" s="138" t="str">
        <f t="shared" si="14"/>
        <v/>
      </c>
      <c r="E151" s="150"/>
      <c r="F151" s="191" t="str">
        <f t="shared" si="15"/>
        <v/>
      </c>
      <c r="G151" s="185"/>
      <c r="H151" s="185"/>
      <c r="I151" s="185"/>
      <c r="K151" s="141" t="str">
        <f t="shared" si="16"/>
        <v/>
      </c>
      <c r="L151" s="141" t="str">
        <f t="shared" si="17"/>
        <v/>
      </c>
    </row>
    <row r="152" spans="1:12">
      <c r="A152" s="139" t="str">
        <f>IF(E152="","",VLOOKUP('Opći dio'!$C$3,'Opći dio'!$L$6:$U$136,10,FALSE))</f>
        <v/>
      </c>
      <c r="B152" s="139" t="str">
        <f>IF(E152="","",VLOOKUP('Opći dio'!$C$3,'Opći dio'!$L$6:$U$136,9,FALSE))</f>
        <v/>
      </c>
      <c r="C152" s="187" t="str">
        <f t="shared" si="13"/>
        <v/>
      </c>
      <c r="D152" s="138" t="str">
        <f t="shared" si="14"/>
        <v/>
      </c>
      <c r="E152" s="150"/>
      <c r="F152" s="191" t="str">
        <f t="shared" si="15"/>
        <v/>
      </c>
      <c r="G152" s="185"/>
      <c r="H152" s="185"/>
      <c r="I152" s="185"/>
      <c r="K152" s="141" t="str">
        <f t="shared" si="16"/>
        <v/>
      </c>
      <c r="L152" s="141" t="str">
        <f t="shared" si="17"/>
        <v/>
      </c>
    </row>
    <row r="153" spans="1:12">
      <c r="A153" s="139" t="str">
        <f>IF(E153="","",VLOOKUP('Opći dio'!$C$3,'Opći dio'!$L$6:$U$136,10,FALSE))</f>
        <v/>
      </c>
      <c r="B153" s="139" t="str">
        <f>IF(E153="","",VLOOKUP('Opći dio'!$C$3,'Opći dio'!$L$6:$U$136,9,FALSE))</f>
        <v/>
      </c>
      <c r="C153" s="187" t="str">
        <f t="shared" si="13"/>
        <v/>
      </c>
      <c r="D153" s="138" t="str">
        <f t="shared" si="14"/>
        <v/>
      </c>
      <c r="E153" s="150"/>
      <c r="F153" s="191" t="str">
        <f t="shared" si="15"/>
        <v/>
      </c>
      <c r="G153" s="185"/>
      <c r="H153" s="185"/>
      <c r="I153" s="185"/>
      <c r="K153" s="141" t="str">
        <f t="shared" si="16"/>
        <v/>
      </c>
      <c r="L153" s="141" t="str">
        <f t="shared" si="17"/>
        <v/>
      </c>
    </row>
    <row r="154" spans="1:12">
      <c r="A154" s="139" t="str">
        <f>IF(E154="","",VLOOKUP('Opći dio'!$C$3,'Opći dio'!$L$6:$U$136,10,FALSE))</f>
        <v/>
      </c>
      <c r="B154" s="139" t="str">
        <f>IF(E154="","",VLOOKUP('Opći dio'!$C$3,'Opći dio'!$L$6:$U$136,9,FALSE))</f>
        <v/>
      </c>
      <c r="C154" s="187" t="str">
        <f t="shared" si="13"/>
        <v/>
      </c>
      <c r="D154" s="138" t="str">
        <f t="shared" si="14"/>
        <v/>
      </c>
      <c r="E154" s="150"/>
      <c r="F154" s="191" t="str">
        <f t="shared" si="15"/>
        <v/>
      </c>
      <c r="G154" s="185"/>
      <c r="H154" s="185"/>
      <c r="I154" s="185"/>
      <c r="K154" s="141" t="str">
        <f t="shared" si="16"/>
        <v/>
      </c>
      <c r="L154" s="141" t="str">
        <f t="shared" si="17"/>
        <v/>
      </c>
    </row>
    <row r="155" spans="1:12">
      <c r="A155" s="139" t="str">
        <f>IF(E155="","",VLOOKUP('Opći dio'!$C$3,'Opći dio'!$L$6:$U$136,10,FALSE))</f>
        <v/>
      </c>
      <c r="B155" s="139" t="str">
        <f>IF(E155="","",VLOOKUP('Opći dio'!$C$3,'Opći dio'!$L$6:$U$136,9,FALSE))</f>
        <v/>
      </c>
      <c r="C155" s="187" t="str">
        <f t="shared" si="13"/>
        <v/>
      </c>
      <c r="D155" s="138" t="str">
        <f t="shared" si="14"/>
        <v/>
      </c>
      <c r="E155" s="150"/>
      <c r="F155" s="191" t="str">
        <f t="shared" si="15"/>
        <v/>
      </c>
      <c r="G155" s="185"/>
      <c r="H155" s="185"/>
      <c r="I155" s="185"/>
      <c r="K155" s="141" t="str">
        <f t="shared" si="16"/>
        <v/>
      </c>
      <c r="L155" s="141" t="str">
        <f t="shared" si="17"/>
        <v/>
      </c>
    </row>
    <row r="156" spans="1:12">
      <c r="A156" s="139" t="str">
        <f>IF(E156="","",VLOOKUP('Opći dio'!$C$3,'Opći dio'!$L$6:$U$136,10,FALSE))</f>
        <v/>
      </c>
      <c r="B156" s="139" t="str">
        <f>IF(E156="","",VLOOKUP('Opći dio'!$C$3,'Opći dio'!$L$6:$U$136,9,FALSE))</f>
        <v/>
      </c>
      <c r="C156" s="187" t="str">
        <f t="shared" si="13"/>
        <v/>
      </c>
      <c r="D156" s="138" t="str">
        <f t="shared" si="14"/>
        <v/>
      </c>
      <c r="E156" s="150"/>
      <c r="F156" s="191" t="str">
        <f t="shared" si="15"/>
        <v/>
      </c>
      <c r="G156" s="185"/>
      <c r="H156" s="185"/>
      <c r="I156" s="185"/>
      <c r="K156" s="141" t="str">
        <f t="shared" si="16"/>
        <v/>
      </c>
      <c r="L156" s="141" t="str">
        <f t="shared" si="17"/>
        <v/>
      </c>
    </row>
    <row r="157" spans="1:12">
      <c r="A157" s="139" t="str">
        <f>IF(E157="","",VLOOKUP('Opći dio'!$C$3,'Opći dio'!$L$6:$U$136,10,FALSE))</f>
        <v/>
      </c>
      <c r="B157" s="139" t="str">
        <f>IF(E157="","",VLOOKUP('Opći dio'!$C$3,'Opći dio'!$L$6:$U$136,9,FALSE))</f>
        <v/>
      </c>
      <c r="C157" s="187" t="str">
        <f t="shared" si="13"/>
        <v/>
      </c>
      <c r="D157" s="138" t="str">
        <f t="shared" si="14"/>
        <v/>
      </c>
      <c r="E157" s="150"/>
      <c r="F157" s="191" t="str">
        <f t="shared" si="15"/>
        <v/>
      </c>
      <c r="G157" s="185"/>
      <c r="H157" s="185"/>
      <c r="I157" s="185"/>
      <c r="K157" s="141" t="str">
        <f t="shared" si="16"/>
        <v/>
      </c>
      <c r="L157" s="141" t="str">
        <f t="shared" si="17"/>
        <v/>
      </c>
    </row>
    <row r="158" spans="1:12">
      <c r="A158" s="139" t="str">
        <f>IF(E158="","",VLOOKUP('Opći dio'!$C$3,'Opći dio'!$L$6:$U$136,10,FALSE))</f>
        <v/>
      </c>
      <c r="B158" s="139" t="str">
        <f>IF(E158="","",VLOOKUP('Opći dio'!$C$3,'Opći dio'!$L$6:$U$136,9,FALSE))</f>
        <v/>
      </c>
      <c r="C158" s="187" t="str">
        <f t="shared" si="13"/>
        <v/>
      </c>
      <c r="D158" s="138" t="str">
        <f t="shared" si="14"/>
        <v/>
      </c>
      <c r="E158" s="150"/>
      <c r="F158" s="191" t="str">
        <f t="shared" si="15"/>
        <v/>
      </c>
      <c r="G158" s="185"/>
      <c r="H158" s="185"/>
      <c r="I158" s="185"/>
      <c r="K158" s="141" t="str">
        <f t="shared" si="16"/>
        <v/>
      </c>
      <c r="L158" s="141" t="str">
        <f t="shared" si="17"/>
        <v/>
      </c>
    </row>
    <row r="159" spans="1:12">
      <c r="A159" s="139" t="str">
        <f>IF(E159="","",VLOOKUP('Opći dio'!$C$3,'Opći dio'!$L$6:$U$136,10,FALSE))</f>
        <v/>
      </c>
      <c r="B159" s="139" t="str">
        <f>IF(E159="","",VLOOKUP('Opći dio'!$C$3,'Opći dio'!$L$6:$U$136,9,FALSE))</f>
        <v/>
      </c>
      <c r="C159" s="187" t="str">
        <f t="shared" si="13"/>
        <v/>
      </c>
      <c r="D159" s="138" t="str">
        <f t="shared" si="14"/>
        <v/>
      </c>
      <c r="E159" s="150"/>
      <c r="F159" s="191" t="str">
        <f t="shared" si="15"/>
        <v/>
      </c>
      <c r="G159" s="185"/>
      <c r="H159" s="185"/>
      <c r="I159" s="185"/>
      <c r="K159" s="141" t="str">
        <f t="shared" si="16"/>
        <v/>
      </c>
      <c r="L159" s="141" t="str">
        <f t="shared" si="17"/>
        <v/>
      </c>
    </row>
    <row r="160" spans="1:12">
      <c r="A160" s="139" t="str">
        <f>IF(E160="","",VLOOKUP('Opći dio'!$C$3,'Opći dio'!$L$6:$U$136,10,FALSE))</f>
        <v/>
      </c>
      <c r="B160" s="139" t="str">
        <f>IF(E160="","",VLOOKUP('Opći dio'!$C$3,'Opći dio'!$L$6:$U$136,9,FALSE))</f>
        <v/>
      </c>
      <c r="C160" s="187" t="str">
        <f t="shared" si="13"/>
        <v/>
      </c>
      <c r="D160" s="138" t="str">
        <f t="shared" si="14"/>
        <v/>
      </c>
      <c r="E160" s="150"/>
      <c r="F160" s="191" t="str">
        <f t="shared" si="15"/>
        <v/>
      </c>
      <c r="G160" s="185"/>
      <c r="H160" s="185"/>
      <c r="I160" s="185"/>
      <c r="K160" s="141" t="str">
        <f t="shared" si="16"/>
        <v/>
      </c>
      <c r="L160" s="141" t="str">
        <f t="shared" si="17"/>
        <v/>
      </c>
    </row>
    <row r="161" spans="1:12">
      <c r="A161" s="139" t="str">
        <f>IF(E161="","",VLOOKUP('Opći dio'!$C$3,'Opći dio'!$L$6:$U$136,10,FALSE))</f>
        <v/>
      </c>
      <c r="B161" s="139" t="str">
        <f>IF(E161="","",VLOOKUP('Opći dio'!$C$3,'Opći dio'!$L$6:$U$136,9,FALSE))</f>
        <v/>
      </c>
      <c r="C161" s="187" t="str">
        <f t="shared" si="13"/>
        <v/>
      </c>
      <c r="D161" s="138" t="str">
        <f t="shared" si="14"/>
        <v/>
      </c>
      <c r="E161" s="150"/>
      <c r="F161" s="191" t="str">
        <f t="shared" si="15"/>
        <v/>
      </c>
      <c r="G161" s="185"/>
      <c r="H161" s="185"/>
      <c r="I161" s="185"/>
      <c r="K161" s="141" t="str">
        <f t="shared" si="16"/>
        <v/>
      </c>
      <c r="L161" s="141" t="str">
        <f t="shared" si="17"/>
        <v/>
      </c>
    </row>
    <row r="162" spans="1:12">
      <c r="A162" s="139" t="str">
        <f>IF(E162="","",VLOOKUP('Opći dio'!$C$3,'Opći dio'!$L$6:$U$136,10,FALSE))</f>
        <v/>
      </c>
      <c r="B162" s="139" t="str">
        <f>IF(E162="","",VLOOKUP('Opći dio'!$C$3,'Opći dio'!$L$6:$U$136,9,FALSE))</f>
        <v/>
      </c>
      <c r="C162" s="187" t="str">
        <f t="shared" si="13"/>
        <v/>
      </c>
      <c r="D162" s="138" t="str">
        <f t="shared" si="14"/>
        <v/>
      </c>
      <c r="E162" s="150"/>
      <c r="F162" s="191" t="str">
        <f t="shared" si="15"/>
        <v/>
      </c>
      <c r="G162" s="185"/>
      <c r="H162" s="185"/>
      <c r="I162" s="185"/>
      <c r="K162" s="141" t="str">
        <f t="shared" si="16"/>
        <v/>
      </c>
      <c r="L162" s="141" t="str">
        <f t="shared" si="17"/>
        <v/>
      </c>
    </row>
    <row r="163" spans="1:12">
      <c r="A163" s="139" t="str">
        <f>IF(E163="","",VLOOKUP('Opći dio'!$C$3,'Opći dio'!$L$6:$U$136,10,FALSE))</f>
        <v/>
      </c>
      <c r="B163" s="139" t="str">
        <f>IF(E163="","",VLOOKUP('Opći dio'!$C$3,'Opći dio'!$L$6:$U$136,9,FALSE))</f>
        <v/>
      </c>
      <c r="C163" s="187" t="str">
        <f t="shared" si="13"/>
        <v/>
      </c>
      <c r="D163" s="138" t="str">
        <f t="shared" si="14"/>
        <v/>
      </c>
      <c r="E163" s="150"/>
      <c r="F163" s="191" t="str">
        <f t="shared" si="15"/>
        <v/>
      </c>
      <c r="G163" s="185"/>
      <c r="H163" s="185"/>
      <c r="I163" s="185"/>
      <c r="K163" s="141" t="str">
        <f t="shared" si="16"/>
        <v/>
      </c>
      <c r="L163" s="141" t="str">
        <f t="shared" si="17"/>
        <v/>
      </c>
    </row>
    <row r="164" spans="1:12">
      <c r="A164" s="139" t="str">
        <f>IF(E164="","",VLOOKUP('Opći dio'!$C$3,'Opći dio'!$L$6:$U$136,10,FALSE))</f>
        <v/>
      </c>
      <c r="B164" s="139" t="str">
        <f>IF(E164="","",VLOOKUP('Opći dio'!$C$3,'Opći dio'!$L$6:$U$136,9,FALSE))</f>
        <v/>
      </c>
      <c r="C164" s="187" t="str">
        <f t="shared" si="13"/>
        <v/>
      </c>
      <c r="D164" s="138" t="str">
        <f t="shared" si="14"/>
        <v/>
      </c>
      <c r="E164" s="150"/>
      <c r="F164" s="191" t="str">
        <f t="shared" si="15"/>
        <v/>
      </c>
      <c r="G164" s="185"/>
      <c r="H164" s="185"/>
      <c r="I164" s="185"/>
      <c r="K164" s="141" t="str">
        <f t="shared" si="16"/>
        <v/>
      </c>
      <c r="L164" s="141" t="str">
        <f t="shared" si="17"/>
        <v/>
      </c>
    </row>
    <row r="165" spans="1:12">
      <c r="A165" s="139" t="str">
        <f>IF(E165="","",VLOOKUP('Opći dio'!$C$3,'Opći dio'!$L$6:$U$136,10,FALSE))</f>
        <v/>
      </c>
      <c r="B165" s="139" t="str">
        <f>IF(E165="","",VLOOKUP('Opći dio'!$C$3,'Opći dio'!$L$6:$U$136,9,FALSE))</f>
        <v/>
      </c>
      <c r="C165" s="187" t="str">
        <f t="shared" si="13"/>
        <v/>
      </c>
      <c r="D165" s="138" t="str">
        <f t="shared" si="14"/>
        <v/>
      </c>
      <c r="E165" s="150"/>
      <c r="F165" s="191" t="str">
        <f t="shared" si="15"/>
        <v/>
      </c>
      <c r="G165" s="185"/>
      <c r="H165" s="185"/>
      <c r="I165" s="185"/>
      <c r="K165" s="141" t="str">
        <f t="shared" si="16"/>
        <v/>
      </c>
      <c r="L165" s="141" t="str">
        <f t="shared" si="17"/>
        <v/>
      </c>
    </row>
    <row r="166" spans="1:12">
      <c r="A166" s="139" t="str">
        <f>IF(E166="","",VLOOKUP('Opći dio'!$C$3,'Opći dio'!$L$6:$U$136,10,FALSE))</f>
        <v/>
      </c>
      <c r="B166" s="139" t="str">
        <f>IF(E166="","",VLOOKUP('Opći dio'!$C$3,'Opći dio'!$L$6:$U$136,9,FALSE))</f>
        <v/>
      </c>
      <c r="C166" s="187" t="str">
        <f t="shared" si="13"/>
        <v/>
      </c>
      <c r="D166" s="138" t="str">
        <f t="shared" si="14"/>
        <v/>
      </c>
      <c r="E166" s="150"/>
      <c r="F166" s="191" t="str">
        <f t="shared" si="15"/>
        <v/>
      </c>
      <c r="G166" s="185"/>
      <c r="H166" s="185"/>
      <c r="I166" s="185"/>
      <c r="K166" s="141" t="str">
        <f t="shared" si="16"/>
        <v/>
      </c>
      <c r="L166" s="141" t="str">
        <f t="shared" si="17"/>
        <v/>
      </c>
    </row>
    <row r="167" spans="1:12">
      <c r="A167" s="139" t="str">
        <f>IF(E167="","",VLOOKUP('Opći dio'!$C$3,'Opći dio'!$L$6:$U$136,10,FALSE))</f>
        <v/>
      </c>
      <c r="B167" s="139" t="str">
        <f>IF(E167="","",VLOOKUP('Opći dio'!$C$3,'Opći dio'!$L$6:$U$136,9,FALSE))</f>
        <v/>
      </c>
      <c r="C167" s="187" t="str">
        <f t="shared" si="13"/>
        <v/>
      </c>
      <c r="D167" s="138" t="str">
        <f t="shared" si="14"/>
        <v/>
      </c>
      <c r="E167" s="150"/>
      <c r="F167" s="191" t="str">
        <f t="shared" si="15"/>
        <v/>
      </c>
      <c r="G167" s="185"/>
      <c r="H167" s="185"/>
      <c r="I167" s="185"/>
      <c r="K167" s="141" t="str">
        <f t="shared" si="16"/>
        <v/>
      </c>
      <c r="L167" s="141" t="str">
        <f t="shared" si="17"/>
        <v/>
      </c>
    </row>
    <row r="168" spans="1:12">
      <c r="A168" s="139" t="str">
        <f>IF(E168="","",VLOOKUP('Opći dio'!$C$3,'Opći dio'!$L$6:$U$136,10,FALSE))</f>
        <v/>
      </c>
      <c r="B168" s="139" t="str">
        <f>IF(E168="","",VLOOKUP('Opći dio'!$C$3,'Opći dio'!$L$6:$U$136,9,FALSE))</f>
        <v/>
      </c>
      <c r="C168" s="187" t="str">
        <f t="shared" si="13"/>
        <v/>
      </c>
      <c r="D168" s="138" t="str">
        <f t="shared" si="14"/>
        <v/>
      </c>
      <c r="E168" s="150"/>
      <c r="F168" s="191" t="str">
        <f t="shared" si="15"/>
        <v/>
      </c>
      <c r="G168" s="185"/>
      <c r="H168" s="185"/>
      <c r="I168" s="185"/>
      <c r="K168" s="141" t="str">
        <f t="shared" si="16"/>
        <v/>
      </c>
      <c r="L168" s="141" t="str">
        <f t="shared" si="17"/>
        <v/>
      </c>
    </row>
    <row r="169" spans="1:12">
      <c r="A169" s="139" t="str">
        <f>IF(E169="","",VLOOKUP('Opći dio'!$C$3,'Opći dio'!$L$6:$U$136,10,FALSE))</f>
        <v/>
      </c>
      <c r="B169" s="139" t="str">
        <f>IF(E169="","",VLOOKUP('Opći dio'!$C$3,'Opći dio'!$L$6:$U$136,9,FALSE))</f>
        <v/>
      </c>
      <c r="C169" s="187" t="str">
        <f t="shared" si="13"/>
        <v/>
      </c>
      <c r="D169" s="138" t="str">
        <f t="shared" si="14"/>
        <v/>
      </c>
      <c r="E169" s="150"/>
      <c r="F169" s="191" t="str">
        <f t="shared" si="15"/>
        <v/>
      </c>
      <c r="G169" s="185"/>
      <c r="H169" s="185"/>
      <c r="I169" s="185"/>
      <c r="K169" s="141" t="str">
        <f t="shared" si="16"/>
        <v/>
      </c>
      <c r="L169" s="141" t="str">
        <f t="shared" si="17"/>
        <v/>
      </c>
    </row>
    <row r="170" spans="1:12">
      <c r="A170" s="139" t="str">
        <f>IF(E170="","",VLOOKUP('Opći dio'!$C$3,'Opći dio'!$L$6:$U$136,10,FALSE))</f>
        <v/>
      </c>
      <c r="B170" s="139" t="str">
        <f>IF(E170="","",VLOOKUP('Opći dio'!$C$3,'Opći dio'!$L$6:$U$136,9,FALSE))</f>
        <v/>
      </c>
      <c r="C170" s="187" t="str">
        <f t="shared" si="13"/>
        <v/>
      </c>
      <c r="D170" s="138" t="str">
        <f t="shared" si="14"/>
        <v/>
      </c>
      <c r="E170" s="150"/>
      <c r="F170" s="191" t="str">
        <f t="shared" si="15"/>
        <v/>
      </c>
      <c r="G170" s="185"/>
      <c r="H170" s="185"/>
      <c r="I170" s="185"/>
      <c r="K170" s="141" t="str">
        <f t="shared" si="16"/>
        <v/>
      </c>
      <c r="L170" s="141" t="str">
        <f t="shared" si="17"/>
        <v/>
      </c>
    </row>
    <row r="171" spans="1:12">
      <c r="A171" s="139" t="str">
        <f>IF(E171="","",VLOOKUP('Opći dio'!$C$3,'Opći dio'!$L$6:$U$136,10,FALSE))</f>
        <v/>
      </c>
      <c r="B171" s="139" t="str">
        <f>IF(E171="","",VLOOKUP('Opći dio'!$C$3,'Opći dio'!$L$6:$U$136,9,FALSE))</f>
        <v/>
      </c>
      <c r="C171" s="187" t="str">
        <f t="shared" si="13"/>
        <v/>
      </c>
      <c r="D171" s="138" t="str">
        <f t="shared" si="14"/>
        <v/>
      </c>
      <c r="E171" s="150"/>
      <c r="F171" s="191" t="str">
        <f t="shared" si="15"/>
        <v/>
      </c>
      <c r="G171" s="185"/>
      <c r="H171" s="185"/>
      <c r="I171" s="185"/>
      <c r="K171" s="141" t="str">
        <f t="shared" si="16"/>
        <v/>
      </c>
      <c r="L171" s="141" t="str">
        <f t="shared" si="17"/>
        <v/>
      </c>
    </row>
    <row r="172" spans="1:12">
      <c r="A172" s="139" t="str">
        <f>IF(E172="","",VLOOKUP('Opći dio'!$C$3,'Opći dio'!$L$6:$U$136,10,FALSE))</f>
        <v/>
      </c>
      <c r="B172" s="139" t="str">
        <f>IF(E172="","",VLOOKUP('Opći dio'!$C$3,'Opći dio'!$L$6:$U$136,9,FALSE))</f>
        <v/>
      </c>
      <c r="C172" s="187" t="str">
        <f t="shared" si="13"/>
        <v/>
      </c>
      <c r="D172" s="138" t="str">
        <f t="shared" si="14"/>
        <v/>
      </c>
      <c r="E172" s="150"/>
      <c r="F172" s="191" t="str">
        <f t="shared" si="15"/>
        <v/>
      </c>
      <c r="G172" s="185"/>
      <c r="H172" s="185"/>
      <c r="I172" s="185"/>
      <c r="K172" s="141" t="str">
        <f t="shared" si="16"/>
        <v/>
      </c>
      <c r="L172" s="141" t="str">
        <f t="shared" si="17"/>
        <v/>
      </c>
    </row>
    <row r="173" spans="1:12">
      <c r="A173" s="139" t="str">
        <f>IF(E173="","",VLOOKUP('Opći dio'!$C$3,'Opći dio'!$L$6:$U$136,10,FALSE))</f>
        <v/>
      </c>
      <c r="B173" s="139" t="str">
        <f>IF(E173="","",VLOOKUP('Opći dio'!$C$3,'Opći dio'!$L$6:$U$136,9,FALSE))</f>
        <v/>
      </c>
      <c r="C173" s="187" t="str">
        <f t="shared" si="13"/>
        <v/>
      </c>
      <c r="D173" s="138" t="str">
        <f t="shared" si="14"/>
        <v/>
      </c>
      <c r="E173" s="150"/>
      <c r="F173" s="191" t="str">
        <f t="shared" si="15"/>
        <v/>
      </c>
      <c r="G173" s="185"/>
      <c r="H173" s="185"/>
      <c r="I173" s="185"/>
      <c r="K173" s="141" t="str">
        <f t="shared" si="16"/>
        <v/>
      </c>
      <c r="L173" s="141" t="str">
        <f t="shared" si="17"/>
        <v/>
      </c>
    </row>
    <row r="174" spans="1:12">
      <c r="A174" s="139" t="str">
        <f>IF(E174="","",VLOOKUP('Opći dio'!$C$3,'Opći dio'!$L$6:$U$136,10,FALSE))</f>
        <v/>
      </c>
      <c r="B174" s="139" t="str">
        <f>IF(E174="","",VLOOKUP('Opći dio'!$C$3,'Opći dio'!$L$6:$U$136,9,FALSE))</f>
        <v/>
      </c>
      <c r="C174" s="187" t="str">
        <f t="shared" si="13"/>
        <v/>
      </c>
      <c r="D174" s="138" t="str">
        <f t="shared" si="14"/>
        <v/>
      </c>
      <c r="E174" s="150"/>
      <c r="F174" s="191" t="str">
        <f t="shared" si="15"/>
        <v/>
      </c>
      <c r="G174" s="185"/>
      <c r="H174" s="185"/>
      <c r="I174" s="185"/>
      <c r="K174" s="141" t="str">
        <f t="shared" si="16"/>
        <v/>
      </c>
      <c r="L174" s="141" t="str">
        <f t="shared" si="17"/>
        <v/>
      </c>
    </row>
    <row r="175" spans="1:12">
      <c r="A175" s="139" t="str">
        <f>IF(E175="","",VLOOKUP('Opći dio'!$C$3,'Opći dio'!$L$6:$U$136,10,FALSE))</f>
        <v/>
      </c>
      <c r="B175" s="139" t="str">
        <f>IF(E175="","",VLOOKUP('Opći dio'!$C$3,'Opći dio'!$L$6:$U$136,9,FALSE))</f>
        <v/>
      </c>
      <c r="C175" s="187" t="str">
        <f t="shared" si="13"/>
        <v/>
      </c>
      <c r="D175" s="138" t="str">
        <f t="shared" si="14"/>
        <v/>
      </c>
      <c r="E175" s="150"/>
      <c r="F175" s="191" t="str">
        <f t="shared" si="15"/>
        <v/>
      </c>
      <c r="G175" s="185"/>
      <c r="H175" s="185"/>
      <c r="I175" s="185"/>
      <c r="K175" s="141" t="str">
        <f t="shared" si="16"/>
        <v/>
      </c>
      <c r="L175" s="141" t="str">
        <f t="shared" si="17"/>
        <v/>
      </c>
    </row>
    <row r="176" spans="1:12">
      <c r="A176" s="139" t="str">
        <f>IF(E176="","",VLOOKUP('Opći dio'!$C$3,'Opći dio'!$L$6:$U$136,10,FALSE))</f>
        <v/>
      </c>
      <c r="B176" s="139" t="str">
        <f>IF(E176="","",VLOOKUP('Opći dio'!$C$3,'Opći dio'!$L$6:$U$136,9,FALSE))</f>
        <v/>
      </c>
      <c r="C176" s="187" t="str">
        <f t="shared" si="13"/>
        <v/>
      </c>
      <c r="D176" s="138" t="str">
        <f t="shared" si="14"/>
        <v/>
      </c>
      <c r="E176" s="150"/>
      <c r="F176" s="191" t="str">
        <f t="shared" si="15"/>
        <v/>
      </c>
      <c r="G176" s="185"/>
      <c r="H176" s="185"/>
      <c r="I176" s="185"/>
      <c r="K176" s="141" t="str">
        <f t="shared" si="16"/>
        <v/>
      </c>
      <c r="L176" s="141" t="str">
        <f t="shared" si="17"/>
        <v/>
      </c>
    </row>
    <row r="177" spans="1:12">
      <c r="A177" s="139" t="str">
        <f>IF(E177="","",VLOOKUP('Opći dio'!$C$3,'Opći dio'!$L$6:$U$136,10,FALSE))</f>
        <v/>
      </c>
      <c r="B177" s="139" t="str">
        <f>IF(E177="","",VLOOKUP('Opći dio'!$C$3,'Opći dio'!$L$6:$U$136,9,FALSE))</f>
        <v/>
      </c>
      <c r="C177" s="187" t="str">
        <f t="shared" si="13"/>
        <v/>
      </c>
      <c r="D177" s="138" t="str">
        <f t="shared" si="14"/>
        <v/>
      </c>
      <c r="E177" s="150"/>
      <c r="F177" s="191" t="str">
        <f t="shared" si="15"/>
        <v/>
      </c>
      <c r="G177" s="185"/>
      <c r="H177" s="185"/>
      <c r="I177" s="185"/>
      <c r="K177" s="141" t="str">
        <f t="shared" si="16"/>
        <v/>
      </c>
      <c r="L177" s="141" t="str">
        <f t="shared" si="17"/>
        <v/>
      </c>
    </row>
    <row r="178" spans="1:12">
      <c r="A178" s="139" t="str">
        <f>IF(E178="","",VLOOKUP('Opći dio'!$C$3,'Opći dio'!$L$6:$U$136,10,FALSE))</f>
        <v/>
      </c>
      <c r="B178" s="139" t="str">
        <f>IF(E178="","",VLOOKUP('Opći dio'!$C$3,'Opći dio'!$L$6:$U$136,9,FALSE))</f>
        <v/>
      </c>
      <c r="C178" s="187" t="str">
        <f t="shared" si="13"/>
        <v/>
      </c>
      <c r="D178" s="138" t="str">
        <f t="shared" si="14"/>
        <v/>
      </c>
      <c r="E178" s="150"/>
      <c r="F178" s="191" t="str">
        <f t="shared" si="15"/>
        <v/>
      </c>
      <c r="G178" s="185"/>
      <c r="H178" s="185"/>
      <c r="I178" s="185"/>
      <c r="K178" s="141" t="str">
        <f t="shared" si="16"/>
        <v/>
      </c>
      <c r="L178" s="141" t="str">
        <f t="shared" si="17"/>
        <v/>
      </c>
    </row>
    <row r="179" spans="1:12">
      <c r="A179" s="139" t="str">
        <f>IF(E179="","",VLOOKUP('Opći dio'!$C$3,'Opći dio'!$L$6:$U$136,10,FALSE))</f>
        <v/>
      </c>
      <c r="B179" s="139" t="str">
        <f>IF(E179="","",VLOOKUP('Opći dio'!$C$3,'Opći dio'!$L$6:$U$136,9,FALSE))</f>
        <v/>
      </c>
      <c r="C179" s="187" t="str">
        <f t="shared" si="13"/>
        <v/>
      </c>
      <c r="D179" s="138" t="str">
        <f t="shared" si="14"/>
        <v/>
      </c>
      <c r="E179" s="150"/>
      <c r="F179" s="191" t="str">
        <f t="shared" si="15"/>
        <v/>
      </c>
      <c r="G179" s="185"/>
      <c r="H179" s="185"/>
      <c r="I179" s="185"/>
      <c r="K179" s="141" t="str">
        <f t="shared" si="16"/>
        <v/>
      </c>
      <c r="L179" s="141" t="str">
        <f t="shared" si="17"/>
        <v/>
      </c>
    </row>
    <row r="180" spans="1:12">
      <c r="A180" s="139" t="str">
        <f>IF(E180="","",VLOOKUP('Opći dio'!$C$3,'Opći dio'!$L$6:$U$136,10,FALSE))</f>
        <v/>
      </c>
      <c r="B180" s="139" t="str">
        <f>IF(E180="","",VLOOKUP('Opći dio'!$C$3,'Opći dio'!$L$6:$U$136,9,FALSE))</f>
        <v/>
      </c>
      <c r="C180" s="187" t="str">
        <f t="shared" si="13"/>
        <v/>
      </c>
      <c r="D180" s="138" t="str">
        <f t="shared" si="14"/>
        <v/>
      </c>
      <c r="E180" s="150"/>
      <c r="F180" s="191" t="str">
        <f t="shared" si="15"/>
        <v/>
      </c>
      <c r="G180" s="185"/>
      <c r="H180" s="185"/>
      <c r="I180" s="185"/>
      <c r="K180" s="141" t="str">
        <f t="shared" si="16"/>
        <v/>
      </c>
      <c r="L180" s="141" t="str">
        <f t="shared" si="17"/>
        <v/>
      </c>
    </row>
    <row r="181" spans="1:12">
      <c r="A181" s="139" t="str">
        <f>IF(E181="","",VLOOKUP('Opći dio'!$C$3,'Opći dio'!$L$6:$U$136,10,FALSE))</f>
        <v/>
      </c>
      <c r="B181" s="139" t="str">
        <f>IF(E181="","",VLOOKUP('Opći dio'!$C$3,'Opći dio'!$L$6:$U$136,9,FALSE))</f>
        <v/>
      </c>
      <c r="C181" s="187" t="str">
        <f t="shared" si="13"/>
        <v/>
      </c>
      <c r="D181" s="138" t="str">
        <f t="shared" si="14"/>
        <v/>
      </c>
      <c r="E181" s="150"/>
      <c r="F181" s="191" t="str">
        <f t="shared" si="15"/>
        <v/>
      </c>
      <c r="G181" s="185"/>
      <c r="H181" s="185"/>
      <c r="I181" s="185"/>
      <c r="K181" s="141" t="str">
        <f t="shared" si="16"/>
        <v/>
      </c>
      <c r="L181" s="141" t="str">
        <f t="shared" si="17"/>
        <v/>
      </c>
    </row>
    <row r="182" spans="1:12">
      <c r="A182" s="139" t="str">
        <f>IF(E182="","",VLOOKUP('Opći dio'!$C$3,'Opći dio'!$L$6:$U$136,10,FALSE))</f>
        <v/>
      </c>
      <c r="B182" s="139" t="str">
        <f>IF(E182="","",VLOOKUP('Opći dio'!$C$3,'Opći dio'!$L$6:$U$136,9,FALSE))</f>
        <v/>
      </c>
      <c r="C182" s="187" t="str">
        <f t="shared" si="13"/>
        <v/>
      </c>
      <c r="D182" s="138" t="str">
        <f t="shared" si="14"/>
        <v/>
      </c>
      <c r="E182" s="150"/>
      <c r="F182" s="191" t="str">
        <f t="shared" si="15"/>
        <v/>
      </c>
      <c r="G182" s="185"/>
      <c r="H182" s="185"/>
      <c r="I182" s="185"/>
      <c r="K182" s="141" t="str">
        <f t="shared" si="16"/>
        <v/>
      </c>
      <c r="L182" s="141" t="str">
        <f t="shared" si="17"/>
        <v/>
      </c>
    </row>
    <row r="183" spans="1:12">
      <c r="A183" s="139" t="str">
        <f>IF(E183="","",VLOOKUP('Opći dio'!$C$3,'Opći dio'!$L$6:$U$136,10,FALSE))</f>
        <v/>
      </c>
      <c r="B183" s="139" t="str">
        <f>IF(E183="","",VLOOKUP('Opći dio'!$C$3,'Opći dio'!$L$6:$U$136,9,FALSE))</f>
        <v/>
      </c>
      <c r="C183" s="187" t="str">
        <f t="shared" si="13"/>
        <v/>
      </c>
      <c r="D183" s="138" t="str">
        <f t="shared" si="14"/>
        <v/>
      </c>
      <c r="E183" s="150"/>
      <c r="F183" s="191" t="str">
        <f t="shared" si="15"/>
        <v/>
      </c>
      <c r="G183" s="185"/>
      <c r="H183" s="185"/>
      <c r="I183" s="185"/>
      <c r="K183" s="141" t="str">
        <f t="shared" si="16"/>
        <v/>
      </c>
      <c r="L183" s="141" t="str">
        <f t="shared" si="17"/>
        <v/>
      </c>
    </row>
    <row r="184" spans="1:12">
      <c r="A184" s="139" t="str">
        <f>IF(E184="","",VLOOKUP('Opći dio'!$C$3,'Opći dio'!$L$6:$U$136,10,FALSE))</f>
        <v/>
      </c>
      <c r="B184" s="139" t="str">
        <f>IF(E184="","",VLOOKUP('Opći dio'!$C$3,'Opći dio'!$L$6:$U$136,9,FALSE))</f>
        <v/>
      </c>
      <c r="C184" s="187" t="str">
        <f t="shared" si="13"/>
        <v/>
      </c>
      <c r="D184" s="138" t="str">
        <f t="shared" si="14"/>
        <v/>
      </c>
      <c r="E184" s="150"/>
      <c r="F184" s="191" t="str">
        <f t="shared" si="15"/>
        <v/>
      </c>
      <c r="G184" s="185"/>
      <c r="H184" s="185"/>
      <c r="I184" s="185"/>
      <c r="K184" s="141" t="str">
        <f t="shared" si="16"/>
        <v/>
      </c>
      <c r="L184" s="141" t="str">
        <f t="shared" si="17"/>
        <v/>
      </c>
    </row>
    <row r="185" spans="1:12">
      <c r="A185" s="139" t="str">
        <f>IF(E185="","",VLOOKUP('Opći dio'!$C$3,'Opći dio'!$L$6:$U$136,10,FALSE))</f>
        <v/>
      </c>
      <c r="B185" s="139" t="str">
        <f>IF(E185="","",VLOOKUP('Opći dio'!$C$3,'Opći dio'!$L$6:$U$136,9,FALSE))</f>
        <v/>
      </c>
      <c r="C185" s="187" t="str">
        <f t="shared" si="13"/>
        <v/>
      </c>
      <c r="D185" s="138" t="str">
        <f t="shared" si="14"/>
        <v/>
      </c>
      <c r="E185" s="150"/>
      <c r="F185" s="191" t="str">
        <f t="shared" si="15"/>
        <v/>
      </c>
      <c r="G185" s="185"/>
      <c r="H185" s="185"/>
      <c r="I185" s="185"/>
      <c r="K185" s="141" t="str">
        <f t="shared" si="16"/>
        <v/>
      </c>
      <c r="L185" s="141" t="str">
        <f t="shared" si="17"/>
        <v/>
      </c>
    </row>
    <row r="186" spans="1:12">
      <c r="A186" s="139" t="str">
        <f>IF(E186="","",VLOOKUP('Opći dio'!$C$3,'Opći dio'!$L$6:$U$136,10,FALSE))</f>
        <v/>
      </c>
      <c r="B186" s="139" t="str">
        <f>IF(E186="","",VLOOKUP('Opći dio'!$C$3,'Opći dio'!$L$6:$U$136,9,FALSE))</f>
        <v/>
      </c>
      <c r="C186" s="187" t="str">
        <f t="shared" si="13"/>
        <v/>
      </c>
      <c r="D186" s="138" t="str">
        <f t="shared" si="14"/>
        <v/>
      </c>
      <c r="E186" s="150"/>
      <c r="F186" s="191" t="str">
        <f t="shared" si="15"/>
        <v/>
      </c>
      <c r="G186" s="185"/>
      <c r="H186" s="185"/>
      <c r="I186" s="185"/>
      <c r="K186" s="141" t="str">
        <f t="shared" si="16"/>
        <v/>
      </c>
      <c r="L186" s="141" t="str">
        <f t="shared" si="17"/>
        <v/>
      </c>
    </row>
    <row r="187" spans="1:12">
      <c r="A187" s="139" t="str">
        <f>IF(E187="","",VLOOKUP('Opći dio'!$C$3,'Opći dio'!$L$6:$U$136,10,FALSE))</f>
        <v/>
      </c>
      <c r="B187" s="139" t="str">
        <f>IF(E187="","",VLOOKUP('Opći dio'!$C$3,'Opći dio'!$L$6:$U$136,9,FALSE))</f>
        <v/>
      </c>
      <c r="C187" s="187" t="str">
        <f t="shared" si="13"/>
        <v/>
      </c>
      <c r="D187" s="138" t="str">
        <f t="shared" si="14"/>
        <v/>
      </c>
      <c r="E187" s="150"/>
      <c r="F187" s="191" t="str">
        <f t="shared" si="15"/>
        <v/>
      </c>
      <c r="G187" s="185"/>
      <c r="H187" s="185"/>
      <c r="I187" s="185"/>
      <c r="K187" s="141" t="str">
        <f t="shared" si="16"/>
        <v/>
      </c>
      <c r="L187" s="141" t="str">
        <f t="shared" si="17"/>
        <v/>
      </c>
    </row>
    <row r="188" spans="1:12">
      <c r="A188" s="139" t="str">
        <f>IF(E188="","",VLOOKUP('Opći dio'!$C$3,'Opći dio'!$L$6:$U$136,10,FALSE))</f>
        <v/>
      </c>
      <c r="B188" s="139" t="str">
        <f>IF(E188="","",VLOOKUP('Opći dio'!$C$3,'Opći dio'!$L$6:$U$136,9,FALSE))</f>
        <v/>
      </c>
      <c r="C188" s="187" t="str">
        <f t="shared" si="13"/>
        <v/>
      </c>
      <c r="D188" s="138" t="str">
        <f t="shared" si="14"/>
        <v/>
      </c>
      <c r="E188" s="150"/>
      <c r="F188" s="191" t="str">
        <f t="shared" si="15"/>
        <v/>
      </c>
      <c r="G188" s="185"/>
      <c r="H188" s="185"/>
      <c r="I188" s="185"/>
      <c r="K188" s="141" t="str">
        <f t="shared" si="16"/>
        <v/>
      </c>
      <c r="L188" s="141" t="str">
        <f t="shared" si="17"/>
        <v/>
      </c>
    </row>
    <row r="189" spans="1:12">
      <c r="A189" s="139" t="str">
        <f>IF(E189="","",VLOOKUP('Opći dio'!$C$3,'Opći dio'!$L$6:$U$136,10,FALSE))</f>
        <v/>
      </c>
      <c r="B189" s="139" t="str">
        <f>IF(E189="","",VLOOKUP('Opći dio'!$C$3,'Opći dio'!$L$6:$U$136,9,FALSE))</f>
        <v/>
      </c>
      <c r="C189" s="187" t="str">
        <f t="shared" si="13"/>
        <v/>
      </c>
      <c r="D189" s="138" t="str">
        <f t="shared" si="14"/>
        <v/>
      </c>
      <c r="E189" s="150"/>
      <c r="F189" s="191" t="str">
        <f t="shared" si="15"/>
        <v/>
      </c>
      <c r="G189" s="185"/>
      <c r="H189" s="185"/>
      <c r="I189" s="185"/>
      <c r="K189" s="141" t="str">
        <f t="shared" si="16"/>
        <v/>
      </c>
      <c r="L189" s="141" t="str">
        <f t="shared" si="17"/>
        <v/>
      </c>
    </row>
    <row r="190" spans="1:12">
      <c r="A190" s="139" t="str">
        <f>IF(E190="","",VLOOKUP('Opći dio'!$C$3,'Opći dio'!$L$6:$U$136,10,FALSE))</f>
        <v/>
      </c>
      <c r="B190" s="139" t="str">
        <f>IF(E190="","",VLOOKUP('Opći dio'!$C$3,'Opći dio'!$L$6:$U$136,9,FALSE))</f>
        <v/>
      </c>
      <c r="C190" s="187" t="str">
        <f t="shared" si="13"/>
        <v/>
      </c>
      <c r="D190" s="138" t="str">
        <f t="shared" si="14"/>
        <v/>
      </c>
      <c r="E190" s="150"/>
      <c r="F190" s="191" t="str">
        <f t="shared" si="15"/>
        <v/>
      </c>
      <c r="G190" s="185"/>
      <c r="H190" s="185"/>
      <c r="I190" s="185"/>
      <c r="K190" s="141" t="str">
        <f t="shared" si="16"/>
        <v/>
      </c>
      <c r="L190" s="141" t="str">
        <f t="shared" si="17"/>
        <v/>
      </c>
    </row>
    <row r="191" spans="1:12">
      <c r="A191" s="139" t="str">
        <f>IF(E191="","",VLOOKUP('Opći dio'!$C$3,'Opći dio'!$L$6:$U$136,10,FALSE))</f>
        <v/>
      </c>
      <c r="B191" s="139" t="str">
        <f>IF(E191="","",VLOOKUP('Opći dio'!$C$3,'Opći dio'!$L$6:$U$136,9,FALSE))</f>
        <v/>
      </c>
      <c r="C191" s="187" t="str">
        <f t="shared" si="13"/>
        <v/>
      </c>
      <c r="D191" s="138" t="str">
        <f t="shared" si="14"/>
        <v/>
      </c>
      <c r="E191" s="150"/>
      <c r="F191" s="191" t="str">
        <f t="shared" si="15"/>
        <v/>
      </c>
      <c r="G191" s="185"/>
      <c r="H191" s="185"/>
      <c r="I191" s="185"/>
      <c r="K191" s="141" t="str">
        <f t="shared" si="16"/>
        <v/>
      </c>
      <c r="L191" s="141" t="str">
        <f t="shared" si="17"/>
        <v/>
      </c>
    </row>
    <row r="192" spans="1:12">
      <c r="A192" s="139" t="str">
        <f>IF(E192="","",VLOOKUP('Opći dio'!$C$3,'Opći dio'!$L$6:$U$136,10,FALSE))</f>
        <v/>
      </c>
      <c r="B192" s="139" t="str">
        <f>IF(E192="","",VLOOKUP('Opći dio'!$C$3,'Opći dio'!$L$6:$U$136,9,FALSE))</f>
        <v/>
      </c>
      <c r="C192" s="187" t="str">
        <f t="shared" si="13"/>
        <v/>
      </c>
      <c r="D192" s="138" t="str">
        <f t="shared" si="14"/>
        <v/>
      </c>
      <c r="E192" s="150"/>
      <c r="F192" s="191" t="str">
        <f t="shared" si="15"/>
        <v/>
      </c>
      <c r="G192" s="185"/>
      <c r="H192" s="185"/>
      <c r="I192" s="185"/>
      <c r="K192" s="141" t="str">
        <f t="shared" si="16"/>
        <v/>
      </c>
      <c r="L192" s="141" t="str">
        <f t="shared" si="17"/>
        <v/>
      </c>
    </row>
    <row r="193" spans="1:12">
      <c r="A193" s="139" t="str">
        <f>IF(E193="","",VLOOKUP('Opći dio'!$C$3,'Opći dio'!$L$6:$U$136,10,FALSE))</f>
        <v/>
      </c>
      <c r="B193" s="139" t="str">
        <f>IF(E193="","",VLOOKUP('Opći dio'!$C$3,'Opći dio'!$L$6:$U$136,9,FALSE))</f>
        <v/>
      </c>
      <c r="C193" s="187" t="str">
        <f t="shared" si="13"/>
        <v/>
      </c>
      <c r="D193" s="138" t="str">
        <f t="shared" si="14"/>
        <v/>
      </c>
      <c r="E193" s="150"/>
      <c r="F193" s="191" t="str">
        <f t="shared" si="15"/>
        <v/>
      </c>
      <c r="G193" s="185"/>
      <c r="H193" s="185"/>
      <c r="I193" s="185"/>
      <c r="K193" s="141" t="str">
        <f t="shared" si="16"/>
        <v/>
      </c>
      <c r="L193" s="141" t="str">
        <f t="shared" si="17"/>
        <v/>
      </c>
    </row>
    <row r="194" spans="1:12">
      <c r="A194" s="139" t="str">
        <f>IF(E194="","",VLOOKUP('Opći dio'!$C$3,'Opći dio'!$L$6:$U$136,10,FALSE))</f>
        <v/>
      </c>
      <c r="B194" s="139" t="str">
        <f>IF(E194="","",VLOOKUP('Opći dio'!$C$3,'Opći dio'!$L$6:$U$136,9,FALSE))</f>
        <v/>
      </c>
      <c r="C194" s="187" t="str">
        <f t="shared" si="13"/>
        <v/>
      </c>
      <c r="D194" s="138" t="str">
        <f t="shared" si="14"/>
        <v/>
      </c>
      <c r="E194" s="150"/>
      <c r="F194" s="191" t="str">
        <f t="shared" si="15"/>
        <v/>
      </c>
      <c r="G194" s="185"/>
      <c r="H194" s="185"/>
      <c r="I194" s="185"/>
      <c r="K194" s="141" t="str">
        <f t="shared" si="16"/>
        <v/>
      </c>
      <c r="L194" s="141" t="str">
        <f t="shared" si="17"/>
        <v/>
      </c>
    </row>
    <row r="195" spans="1:12">
      <c r="A195" s="139" t="str">
        <f>IF(E195="","",VLOOKUP('Opći dio'!$C$3,'Opći dio'!$L$6:$U$136,10,FALSE))</f>
        <v/>
      </c>
      <c r="B195" s="139" t="str">
        <f>IF(E195="","",VLOOKUP('Opći dio'!$C$3,'Opći dio'!$L$6:$U$136,9,FALSE))</f>
        <v/>
      </c>
      <c r="C195" s="187" t="str">
        <f t="shared" si="13"/>
        <v/>
      </c>
      <c r="D195" s="138" t="str">
        <f t="shared" si="14"/>
        <v/>
      </c>
      <c r="E195" s="150"/>
      <c r="F195" s="191" t="str">
        <f t="shared" si="15"/>
        <v/>
      </c>
      <c r="G195" s="185"/>
      <c r="H195" s="185"/>
      <c r="I195" s="185"/>
      <c r="K195" s="141" t="str">
        <f t="shared" si="16"/>
        <v/>
      </c>
      <c r="L195" s="141" t="str">
        <f t="shared" si="17"/>
        <v/>
      </c>
    </row>
    <row r="196" spans="1:12">
      <c r="A196" s="139" t="str">
        <f>IF(E196="","",VLOOKUP('Opći dio'!$C$3,'Opći dio'!$L$6:$U$136,10,FALSE))</f>
        <v/>
      </c>
      <c r="B196" s="139" t="str">
        <f>IF(E196="","",VLOOKUP('Opći dio'!$C$3,'Opći dio'!$L$6:$U$136,9,FALSE))</f>
        <v/>
      </c>
      <c r="C196" s="187" t="str">
        <f t="shared" ref="C196:C259" si="18">IFERROR(VLOOKUP(E196,$Q$6:$T$200,3,FALSE),"")</f>
        <v/>
      </c>
      <c r="D196" s="138" t="str">
        <f t="shared" ref="D196:D259" si="19">IFERROR(VLOOKUP(E196,$Q$6:$T$200,4,FALSE),"")</f>
        <v/>
      </c>
      <c r="E196" s="150"/>
      <c r="F196" s="191" t="str">
        <f t="shared" ref="F196:F259" si="20">IFERROR(VLOOKUP(E196,$Q$6:$T$200,2,FALSE),"")</f>
        <v/>
      </c>
      <c r="G196" s="185"/>
      <c r="H196" s="185"/>
      <c r="I196" s="185"/>
      <c r="K196" s="141" t="str">
        <f t="shared" ref="K196:K259" si="21">LEFT(E196,3)</f>
        <v/>
      </c>
      <c r="L196" s="141" t="str">
        <f t="shared" ref="L196:L259" si="22">LEFT(E196,2)</f>
        <v/>
      </c>
    </row>
    <row r="197" spans="1:12">
      <c r="A197" s="139" t="str">
        <f>IF(E197="","",VLOOKUP('Opći dio'!$C$3,'Opći dio'!$L$6:$U$136,10,FALSE))</f>
        <v/>
      </c>
      <c r="B197" s="139" t="str">
        <f>IF(E197="","",VLOOKUP('Opći dio'!$C$3,'Opći dio'!$L$6:$U$136,9,FALSE))</f>
        <v/>
      </c>
      <c r="C197" s="187" t="str">
        <f t="shared" si="18"/>
        <v/>
      </c>
      <c r="D197" s="138" t="str">
        <f t="shared" si="19"/>
        <v/>
      </c>
      <c r="E197" s="150"/>
      <c r="F197" s="191" t="str">
        <f t="shared" si="20"/>
        <v/>
      </c>
      <c r="G197" s="185"/>
      <c r="H197" s="185"/>
      <c r="I197" s="185"/>
      <c r="K197" s="141" t="str">
        <f t="shared" si="21"/>
        <v/>
      </c>
      <c r="L197" s="141" t="str">
        <f t="shared" si="22"/>
        <v/>
      </c>
    </row>
    <row r="198" spans="1:12">
      <c r="A198" s="139" t="str">
        <f>IF(E198="","",VLOOKUP('Opći dio'!$C$3,'Opći dio'!$L$6:$U$136,10,FALSE))</f>
        <v/>
      </c>
      <c r="B198" s="139" t="str">
        <f>IF(E198="","",VLOOKUP('Opći dio'!$C$3,'Opći dio'!$L$6:$U$136,9,FALSE))</f>
        <v/>
      </c>
      <c r="C198" s="187" t="str">
        <f t="shared" si="18"/>
        <v/>
      </c>
      <c r="D198" s="138" t="str">
        <f t="shared" si="19"/>
        <v/>
      </c>
      <c r="E198" s="150"/>
      <c r="F198" s="191" t="str">
        <f t="shared" si="20"/>
        <v/>
      </c>
      <c r="G198" s="185"/>
      <c r="H198" s="185"/>
      <c r="I198" s="185"/>
      <c r="K198" s="141" t="str">
        <f t="shared" si="21"/>
        <v/>
      </c>
      <c r="L198" s="141" t="str">
        <f t="shared" si="22"/>
        <v/>
      </c>
    </row>
    <row r="199" spans="1:12">
      <c r="A199" s="139" t="str">
        <f>IF(E199="","",VLOOKUP('Opći dio'!$C$3,'Opći dio'!$L$6:$U$136,10,FALSE))</f>
        <v/>
      </c>
      <c r="B199" s="139" t="str">
        <f>IF(E199="","",VLOOKUP('Opći dio'!$C$3,'Opći dio'!$L$6:$U$136,9,FALSE))</f>
        <v/>
      </c>
      <c r="C199" s="187" t="str">
        <f t="shared" si="18"/>
        <v/>
      </c>
      <c r="D199" s="138" t="str">
        <f t="shared" si="19"/>
        <v/>
      </c>
      <c r="E199" s="150"/>
      <c r="F199" s="191" t="str">
        <f t="shared" si="20"/>
        <v/>
      </c>
      <c r="G199" s="185"/>
      <c r="H199" s="185"/>
      <c r="I199" s="185"/>
      <c r="K199" s="141" t="str">
        <f t="shared" si="21"/>
        <v/>
      </c>
      <c r="L199" s="141" t="str">
        <f t="shared" si="22"/>
        <v/>
      </c>
    </row>
    <row r="200" spans="1:12">
      <c r="A200" s="139" t="str">
        <f>IF(E200="","",VLOOKUP('Opći dio'!$C$3,'Opći dio'!$L$6:$U$136,10,FALSE))</f>
        <v/>
      </c>
      <c r="B200" s="139" t="str">
        <f>IF(E200="","",VLOOKUP('Opći dio'!$C$3,'Opći dio'!$L$6:$U$136,9,FALSE))</f>
        <v/>
      </c>
      <c r="C200" s="187" t="str">
        <f t="shared" si="18"/>
        <v/>
      </c>
      <c r="D200" s="138" t="str">
        <f t="shared" si="19"/>
        <v/>
      </c>
      <c r="E200" s="150"/>
      <c r="F200" s="191" t="str">
        <f t="shared" si="20"/>
        <v/>
      </c>
      <c r="G200" s="185"/>
      <c r="H200" s="185"/>
      <c r="I200" s="185"/>
      <c r="K200" s="141" t="str">
        <f t="shared" si="21"/>
        <v/>
      </c>
      <c r="L200" s="141" t="str">
        <f t="shared" si="22"/>
        <v/>
      </c>
    </row>
    <row r="201" spans="1:12">
      <c r="A201" s="139" t="str">
        <f>IF(E201="","",VLOOKUP('Opći dio'!$C$3,'Opći dio'!$L$6:$U$136,10,FALSE))</f>
        <v/>
      </c>
      <c r="B201" s="139" t="str">
        <f>IF(E201="","",VLOOKUP('Opći dio'!$C$3,'Opći dio'!$L$6:$U$136,9,FALSE))</f>
        <v/>
      </c>
      <c r="C201" s="187" t="str">
        <f t="shared" si="18"/>
        <v/>
      </c>
      <c r="D201" s="138" t="str">
        <f t="shared" si="19"/>
        <v/>
      </c>
      <c r="E201" s="150"/>
      <c r="F201" s="191" t="str">
        <f t="shared" si="20"/>
        <v/>
      </c>
      <c r="G201" s="185"/>
      <c r="H201" s="185"/>
      <c r="I201" s="185"/>
      <c r="K201" s="141" t="str">
        <f t="shared" si="21"/>
        <v/>
      </c>
      <c r="L201" s="141" t="str">
        <f t="shared" si="22"/>
        <v/>
      </c>
    </row>
    <row r="202" spans="1:12">
      <c r="A202" s="139" t="str">
        <f>IF(E202="","",VLOOKUP('Opći dio'!$C$3,'Opći dio'!$L$6:$U$136,10,FALSE))</f>
        <v/>
      </c>
      <c r="B202" s="139" t="str">
        <f>IF(E202="","",VLOOKUP('Opći dio'!$C$3,'Opći dio'!$L$6:$U$136,9,FALSE))</f>
        <v/>
      </c>
      <c r="C202" s="187" t="str">
        <f t="shared" si="18"/>
        <v/>
      </c>
      <c r="D202" s="138" t="str">
        <f t="shared" si="19"/>
        <v/>
      </c>
      <c r="E202" s="150"/>
      <c r="F202" s="191" t="str">
        <f t="shared" si="20"/>
        <v/>
      </c>
      <c r="G202" s="185"/>
      <c r="H202" s="185"/>
      <c r="I202" s="185"/>
      <c r="K202" s="141" t="str">
        <f t="shared" si="21"/>
        <v/>
      </c>
      <c r="L202" s="141" t="str">
        <f t="shared" si="22"/>
        <v/>
      </c>
    </row>
    <row r="203" spans="1:12">
      <c r="A203" s="139" t="str">
        <f>IF(E203="","",VLOOKUP('Opći dio'!$C$3,'Opći dio'!$L$6:$U$136,10,FALSE))</f>
        <v/>
      </c>
      <c r="B203" s="139" t="str">
        <f>IF(E203="","",VLOOKUP('Opći dio'!$C$3,'Opći dio'!$L$6:$U$136,9,FALSE))</f>
        <v/>
      </c>
      <c r="C203" s="187" t="str">
        <f t="shared" si="18"/>
        <v/>
      </c>
      <c r="D203" s="138" t="str">
        <f t="shared" si="19"/>
        <v/>
      </c>
      <c r="E203" s="150"/>
      <c r="F203" s="191" t="str">
        <f t="shared" si="20"/>
        <v/>
      </c>
      <c r="G203" s="185"/>
      <c r="H203" s="185"/>
      <c r="I203" s="185"/>
      <c r="K203" s="141" t="str">
        <f t="shared" si="21"/>
        <v/>
      </c>
      <c r="L203" s="141" t="str">
        <f t="shared" si="22"/>
        <v/>
      </c>
    </row>
    <row r="204" spans="1:12">
      <c r="A204" s="139" t="str">
        <f>IF(E204="","",VLOOKUP('Opći dio'!$C$3,'Opći dio'!$L$6:$U$136,10,FALSE))</f>
        <v/>
      </c>
      <c r="B204" s="139" t="str">
        <f>IF(E204="","",VLOOKUP('Opći dio'!$C$3,'Opći dio'!$L$6:$U$136,9,FALSE))</f>
        <v/>
      </c>
      <c r="C204" s="187" t="str">
        <f t="shared" si="18"/>
        <v/>
      </c>
      <c r="D204" s="138" t="str">
        <f t="shared" si="19"/>
        <v/>
      </c>
      <c r="E204" s="150"/>
      <c r="F204" s="191" t="str">
        <f t="shared" si="20"/>
        <v/>
      </c>
      <c r="G204" s="185"/>
      <c r="H204" s="185"/>
      <c r="I204" s="185"/>
      <c r="K204" s="141" t="str">
        <f t="shared" si="21"/>
        <v/>
      </c>
      <c r="L204" s="141" t="str">
        <f t="shared" si="22"/>
        <v/>
      </c>
    </row>
    <row r="205" spans="1:12">
      <c r="A205" s="139" t="str">
        <f>IF(E205="","",VLOOKUP('Opći dio'!$C$3,'Opći dio'!$L$6:$U$136,10,FALSE))</f>
        <v/>
      </c>
      <c r="B205" s="139" t="str">
        <f>IF(E205="","",VLOOKUP('Opći dio'!$C$3,'Opći dio'!$L$6:$U$136,9,FALSE))</f>
        <v/>
      </c>
      <c r="C205" s="187" t="str">
        <f t="shared" si="18"/>
        <v/>
      </c>
      <c r="D205" s="138" t="str">
        <f t="shared" si="19"/>
        <v/>
      </c>
      <c r="E205" s="150"/>
      <c r="F205" s="191" t="str">
        <f t="shared" si="20"/>
        <v/>
      </c>
      <c r="G205" s="185"/>
      <c r="H205" s="185"/>
      <c r="I205" s="185"/>
      <c r="K205" s="141" t="str">
        <f t="shared" si="21"/>
        <v/>
      </c>
      <c r="L205" s="141" t="str">
        <f t="shared" si="22"/>
        <v/>
      </c>
    </row>
    <row r="206" spans="1:12">
      <c r="A206" s="139" t="str">
        <f>IF(E206="","",VLOOKUP('Opći dio'!$C$3,'Opći dio'!$L$6:$U$136,10,FALSE))</f>
        <v/>
      </c>
      <c r="B206" s="139" t="str">
        <f>IF(E206="","",VLOOKUP('Opći dio'!$C$3,'Opći dio'!$L$6:$U$136,9,FALSE))</f>
        <v/>
      </c>
      <c r="C206" s="187" t="str">
        <f t="shared" si="18"/>
        <v/>
      </c>
      <c r="D206" s="138" t="str">
        <f t="shared" si="19"/>
        <v/>
      </c>
      <c r="E206" s="150"/>
      <c r="F206" s="191" t="str">
        <f t="shared" si="20"/>
        <v/>
      </c>
      <c r="G206" s="185"/>
      <c r="H206" s="185"/>
      <c r="I206" s="185"/>
      <c r="K206" s="141" t="str">
        <f t="shared" si="21"/>
        <v/>
      </c>
      <c r="L206" s="141" t="str">
        <f t="shared" si="22"/>
        <v/>
      </c>
    </row>
    <row r="207" spans="1:12">
      <c r="A207" s="139" t="str">
        <f>IF(E207="","",VLOOKUP('Opći dio'!$C$3,'Opći dio'!$L$6:$U$136,10,FALSE))</f>
        <v/>
      </c>
      <c r="B207" s="139" t="str">
        <f>IF(E207="","",VLOOKUP('Opći dio'!$C$3,'Opći dio'!$L$6:$U$136,9,FALSE))</f>
        <v/>
      </c>
      <c r="C207" s="187" t="str">
        <f t="shared" si="18"/>
        <v/>
      </c>
      <c r="D207" s="138" t="str">
        <f t="shared" si="19"/>
        <v/>
      </c>
      <c r="E207" s="150"/>
      <c r="F207" s="191" t="str">
        <f t="shared" si="20"/>
        <v/>
      </c>
      <c r="G207" s="185"/>
      <c r="H207" s="185"/>
      <c r="I207" s="185"/>
      <c r="K207" s="141" t="str">
        <f t="shared" si="21"/>
        <v/>
      </c>
      <c r="L207" s="141" t="str">
        <f t="shared" si="22"/>
        <v/>
      </c>
    </row>
    <row r="208" spans="1:12">
      <c r="A208" s="139" t="str">
        <f>IF(E208="","",VLOOKUP('Opći dio'!$C$3,'Opći dio'!$L$6:$U$136,10,FALSE))</f>
        <v/>
      </c>
      <c r="B208" s="139" t="str">
        <f>IF(E208="","",VLOOKUP('Opći dio'!$C$3,'Opći dio'!$L$6:$U$136,9,FALSE))</f>
        <v/>
      </c>
      <c r="C208" s="187" t="str">
        <f t="shared" si="18"/>
        <v/>
      </c>
      <c r="D208" s="138" t="str">
        <f t="shared" si="19"/>
        <v/>
      </c>
      <c r="E208" s="150"/>
      <c r="F208" s="191" t="str">
        <f t="shared" si="20"/>
        <v/>
      </c>
      <c r="G208" s="185"/>
      <c r="H208" s="185"/>
      <c r="I208" s="185"/>
      <c r="K208" s="141" t="str">
        <f t="shared" si="21"/>
        <v/>
      </c>
      <c r="L208" s="141" t="str">
        <f t="shared" si="22"/>
        <v/>
      </c>
    </row>
    <row r="209" spans="1:12">
      <c r="A209" s="139" t="str">
        <f>IF(E209="","",VLOOKUP('Opći dio'!$C$3,'Opći dio'!$L$6:$U$136,10,FALSE))</f>
        <v/>
      </c>
      <c r="B209" s="139" t="str">
        <f>IF(E209="","",VLOOKUP('Opći dio'!$C$3,'Opći dio'!$L$6:$U$136,9,FALSE))</f>
        <v/>
      </c>
      <c r="C209" s="187" t="str">
        <f t="shared" si="18"/>
        <v/>
      </c>
      <c r="D209" s="138" t="str">
        <f t="shared" si="19"/>
        <v/>
      </c>
      <c r="E209" s="150"/>
      <c r="F209" s="191" t="str">
        <f t="shared" si="20"/>
        <v/>
      </c>
      <c r="G209" s="185"/>
      <c r="H209" s="185"/>
      <c r="I209" s="185"/>
      <c r="K209" s="141" t="str">
        <f t="shared" si="21"/>
        <v/>
      </c>
      <c r="L209" s="141" t="str">
        <f t="shared" si="22"/>
        <v/>
      </c>
    </row>
    <row r="210" spans="1:12">
      <c r="A210" s="139" t="str">
        <f>IF(E210="","",VLOOKUP('Opći dio'!$C$3,'Opći dio'!$L$6:$U$136,10,FALSE))</f>
        <v/>
      </c>
      <c r="B210" s="139" t="str">
        <f>IF(E210="","",VLOOKUP('Opći dio'!$C$3,'Opći dio'!$L$6:$U$136,9,FALSE))</f>
        <v/>
      </c>
      <c r="C210" s="187" t="str">
        <f t="shared" si="18"/>
        <v/>
      </c>
      <c r="D210" s="138" t="str">
        <f t="shared" si="19"/>
        <v/>
      </c>
      <c r="E210" s="150"/>
      <c r="F210" s="191" t="str">
        <f t="shared" si="20"/>
        <v/>
      </c>
      <c r="G210" s="185"/>
      <c r="H210" s="185"/>
      <c r="I210" s="185"/>
      <c r="K210" s="141" t="str">
        <f t="shared" si="21"/>
        <v/>
      </c>
      <c r="L210" s="141" t="str">
        <f t="shared" si="22"/>
        <v/>
      </c>
    </row>
    <row r="211" spans="1:12">
      <c r="A211" s="139" t="str">
        <f>IF(E211="","",VLOOKUP('Opći dio'!$C$3,'Opći dio'!$L$6:$U$136,10,FALSE))</f>
        <v/>
      </c>
      <c r="B211" s="139" t="str">
        <f>IF(E211="","",VLOOKUP('Opći dio'!$C$3,'Opći dio'!$L$6:$U$136,9,FALSE))</f>
        <v/>
      </c>
      <c r="C211" s="187" t="str">
        <f t="shared" si="18"/>
        <v/>
      </c>
      <c r="D211" s="138" t="str">
        <f t="shared" si="19"/>
        <v/>
      </c>
      <c r="E211" s="150"/>
      <c r="F211" s="191" t="str">
        <f t="shared" si="20"/>
        <v/>
      </c>
      <c r="G211" s="185"/>
      <c r="H211" s="185"/>
      <c r="I211" s="185"/>
      <c r="K211" s="141" t="str">
        <f t="shared" si="21"/>
        <v/>
      </c>
      <c r="L211" s="141" t="str">
        <f t="shared" si="22"/>
        <v/>
      </c>
    </row>
    <row r="212" spans="1:12">
      <c r="A212" s="139" t="str">
        <f>IF(E212="","",VLOOKUP('Opći dio'!$C$3,'Opći dio'!$L$6:$U$136,10,FALSE))</f>
        <v/>
      </c>
      <c r="B212" s="139" t="str">
        <f>IF(E212="","",VLOOKUP('Opći dio'!$C$3,'Opći dio'!$L$6:$U$136,9,FALSE))</f>
        <v/>
      </c>
      <c r="C212" s="187" t="str">
        <f t="shared" si="18"/>
        <v/>
      </c>
      <c r="D212" s="138" t="str">
        <f t="shared" si="19"/>
        <v/>
      </c>
      <c r="E212" s="150"/>
      <c r="F212" s="191" t="str">
        <f t="shared" si="20"/>
        <v/>
      </c>
      <c r="G212" s="185"/>
      <c r="H212" s="185"/>
      <c r="I212" s="185"/>
      <c r="K212" s="141" t="str">
        <f t="shared" si="21"/>
        <v/>
      </c>
      <c r="L212" s="141" t="str">
        <f t="shared" si="22"/>
        <v/>
      </c>
    </row>
    <row r="213" spans="1:12">
      <c r="A213" s="139" t="str">
        <f>IF(E213="","",VLOOKUP('Opći dio'!$C$3,'Opći dio'!$L$6:$U$136,10,FALSE))</f>
        <v/>
      </c>
      <c r="B213" s="139" t="str">
        <f>IF(E213="","",VLOOKUP('Opći dio'!$C$3,'Opći dio'!$L$6:$U$136,9,FALSE))</f>
        <v/>
      </c>
      <c r="C213" s="187" t="str">
        <f t="shared" si="18"/>
        <v/>
      </c>
      <c r="D213" s="138" t="str">
        <f t="shared" si="19"/>
        <v/>
      </c>
      <c r="E213" s="150"/>
      <c r="F213" s="191" t="str">
        <f t="shared" si="20"/>
        <v/>
      </c>
      <c r="G213" s="185"/>
      <c r="H213" s="185"/>
      <c r="I213" s="185"/>
      <c r="K213" s="141" t="str">
        <f t="shared" si="21"/>
        <v/>
      </c>
      <c r="L213" s="141" t="str">
        <f t="shared" si="22"/>
        <v/>
      </c>
    </row>
    <row r="214" spans="1:12">
      <c r="A214" s="139" t="str">
        <f>IF(E214="","",VLOOKUP('Opći dio'!$C$3,'Opći dio'!$L$6:$U$136,10,FALSE))</f>
        <v/>
      </c>
      <c r="B214" s="139" t="str">
        <f>IF(E214="","",VLOOKUP('Opći dio'!$C$3,'Opći dio'!$L$6:$U$136,9,FALSE))</f>
        <v/>
      </c>
      <c r="C214" s="187" t="str">
        <f t="shared" si="18"/>
        <v/>
      </c>
      <c r="D214" s="138" t="str">
        <f t="shared" si="19"/>
        <v/>
      </c>
      <c r="E214" s="150"/>
      <c r="F214" s="191" t="str">
        <f t="shared" si="20"/>
        <v/>
      </c>
      <c r="G214" s="185"/>
      <c r="H214" s="185"/>
      <c r="I214" s="185"/>
      <c r="K214" s="141" t="str">
        <f t="shared" si="21"/>
        <v/>
      </c>
      <c r="L214" s="141" t="str">
        <f t="shared" si="22"/>
        <v/>
      </c>
    </row>
    <row r="215" spans="1:12">
      <c r="A215" s="139" t="str">
        <f>IF(E215="","",VLOOKUP('Opći dio'!$C$3,'Opći dio'!$L$6:$U$136,10,FALSE))</f>
        <v/>
      </c>
      <c r="B215" s="139" t="str">
        <f>IF(E215="","",VLOOKUP('Opći dio'!$C$3,'Opći dio'!$L$6:$U$136,9,FALSE))</f>
        <v/>
      </c>
      <c r="C215" s="187" t="str">
        <f t="shared" si="18"/>
        <v/>
      </c>
      <c r="D215" s="138" t="str">
        <f t="shared" si="19"/>
        <v/>
      </c>
      <c r="E215" s="150"/>
      <c r="F215" s="191" t="str">
        <f t="shared" si="20"/>
        <v/>
      </c>
      <c r="G215" s="185"/>
      <c r="H215" s="185"/>
      <c r="I215" s="185"/>
      <c r="K215" s="141" t="str">
        <f t="shared" si="21"/>
        <v/>
      </c>
      <c r="L215" s="141" t="str">
        <f t="shared" si="22"/>
        <v/>
      </c>
    </row>
    <row r="216" spans="1:12">
      <c r="A216" s="139" t="str">
        <f>IF(E216="","",VLOOKUP('Opći dio'!$C$3,'Opći dio'!$L$6:$U$136,10,FALSE))</f>
        <v/>
      </c>
      <c r="B216" s="139" t="str">
        <f>IF(E216="","",VLOOKUP('Opći dio'!$C$3,'Opći dio'!$L$6:$U$136,9,FALSE))</f>
        <v/>
      </c>
      <c r="C216" s="187" t="str">
        <f t="shared" si="18"/>
        <v/>
      </c>
      <c r="D216" s="138" t="str">
        <f t="shared" si="19"/>
        <v/>
      </c>
      <c r="E216" s="150"/>
      <c r="F216" s="191" t="str">
        <f t="shared" si="20"/>
        <v/>
      </c>
      <c r="G216" s="185"/>
      <c r="H216" s="185"/>
      <c r="I216" s="185"/>
      <c r="K216" s="141" t="str">
        <f t="shared" si="21"/>
        <v/>
      </c>
      <c r="L216" s="141" t="str">
        <f t="shared" si="22"/>
        <v/>
      </c>
    </row>
    <row r="217" spans="1:12">
      <c r="A217" s="139" t="str">
        <f>IF(E217="","",VLOOKUP('Opći dio'!$C$3,'Opći dio'!$L$6:$U$136,10,FALSE))</f>
        <v/>
      </c>
      <c r="B217" s="139" t="str">
        <f>IF(E217="","",VLOOKUP('Opći dio'!$C$3,'Opći dio'!$L$6:$U$136,9,FALSE))</f>
        <v/>
      </c>
      <c r="C217" s="187" t="str">
        <f t="shared" si="18"/>
        <v/>
      </c>
      <c r="D217" s="138" t="str">
        <f t="shared" si="19"/>
        <v/>
      </c>
      <c r="E217" s="150"/>
      <c r="F217" s="191" t="str">
        <f t="shared" si="20"/>
        <v/>
      </c>
      <c r="G217" s="185"/>
      <c r="H217" s="185"/>
      <c r="I217" s="185"/>
      <c r="K217" s="141" t="str">
        <f t="shared" si="21"/>
        <v/>
      </c>
      <c r="L217" s="141" t="str">
        <f t="shared" si="22"/>
        <v/>
      </c>
    </row>
    <row r="218" spans="1:12">
      <c r="A218" s="139" t="str">
        <f>IF(E218="","",VLOOKUP('Opći dio'!$C$3,'Opći dio'!$L$6:$U$136,10,FALSE))</f>
        <v/>
      </c>
      <c r="B218" s="139" t="str">
        <f>IF(E218="","",VLOOKUP('Opći dio'!$C$3,'Opći dio'!$L$6:$U$136,9,FALSE))</f>
        <v/>
      </c>
      <c r="C218" s="187" t="str">
        <f t="shared" si="18"/>
        <v/>
      </c>
      <c r="D218" s="138" t="str">
        <f t="shared" si="19"/>
        <v/>
      </c>
      <c r="E218" s="150"/>
      <c r="F218" s="191" t="str">
        <f t="shared" si="20"/>
        <v/>
      </c>
      <c r="G218" s="185"/>
      <c r="H218" s="185"/>
      <c r="I218" s="185"/>
      <c r="K218" s="141" t="str">
        <f t="shared" si="21"/>
        <v/>
      </c>
      <c r="L218" s="141" t="str">
        <f t="shared" si="22"/>
        <v/>
      </c>
    </row>
    <row r="219" spans="1:12">
      <c r="A219" s="139" t="str">
        <f>IF(E219="","",VLOOKUP('Opći dio'!$C$3,'Opći dio'!$L$6:$U$136,10,FALSE))</f>
        <v/>
      </c>
      <c r="B219" s="139" t="str">
        <f>IF(E219="","",VLOOKUP('Opći dio'!$C$3,'Opći dio'!$L$6:$U$136,9,FALSE))</f>
        <v/>
      </c>
      <c r="C219" s="187" t="str">
        <f t="shared" si="18"/>
        <v/>
      </c>
      <c r="D219" s="138" t="str">
        <f t="shared" si="19"/>
        <v/>
      </c>
      <c r="E219" s="150"/>
      <c r="F219" s="191" t="str">
        <f t="shared" si="20"/>
        <v/>
      </c>
      <c r="G219" s="185"/>
      <c r="H219" s="185"/>
      <c r="I219" s="185"/>
      <c r="K219" s="141" t="str">
        <f t="shared" si="21"/>
        <v/>
      </c>
      <c r="L219" s="141" t="str">
        <f t="shared" si="22"/>
        <v/>
      </c>
    </row>
    <row r="220" spans="1:12">
      <c r="A220" s="139" t="str">
        <f>IF(E220="","",VLOOKUP('Opći dio'!$C$3,'Opći dio'!$L$6:$U$136,10,FALSE))</f>
        <v/>
      </c>
      <c r="B220" s="139" t="str">
        <f>IF(E220="","",VLOOKUP('Opći dio'!$C$3,'Opći dio'!$L$6:$U$136,9,FALSE))</f>
        <v/>
      </c>
      <c r="C220" s="187" t="str">
        <f t="shared" si="18"/>
        <v/>
      </c>
      <c r="D220" s="138" t="str">
        <f t="shared" si="19"/>
        <v/>
      </c>
      <c r="E220" s="150"/>
      <c r="F220" s="191" t="str">
        <f t="shared" si="20"/>
        <v/>
      </c>
      <c r="G220" s="185"/>
      <c r="H220" s="185"/>
      <c r="I220" s="185"/>
      <c r="K220" s="141" t="str">
        <f t="shared" si="21"/>
        <v/>
      </c>
      <c r="L220" s="141" t="str">
        <f t="shared" si="22"/>
        <v/>
      </c>
    </row>
    <row r="221" spans="1:12">
      <c r="A221" s="139" t="str">
        <f>IF(E221="","",VLOOKUP('Opći dio'!$C$3,'Opći dio'!$L$6:$U$136,10,FALSE))</f>
        <v/>
      </c>
      <c r="B221" s="139" t="str">
        <f>IF(E221="","",VLOOKUP('Opći dio'!$C$3,'Opći dio'!$L$6:$U$136,9,FALSE))</f>
        <v/>
      </c>
      <c r="C221" s="187" t="str">
        <f t="shared" si="18"/>
        <v/>
      </c>
      <c r="D221" s="138" t="str">
        <f t="shared" si="19"/>
        <v/>
      </c>
      <c r="E221" s="150"/>
      <c r="F221" s="191" t="str">
        <f t="shared" si="20"/>
        <v/>
      </c>
      <c r="G221" s="185"/>
      <c r="H221" s="185"/>
      <c r="I221" s="185"/>
      <c r="K221" s="141" t="str">
        <f t="shared" si="21"/>
        <v/>
      </c>
      <c r="L221" s="141" t="str">
        <f t="shared" si="22"/>
        <v/>
      </c>
    </row>
    <row r="222" spans="1:12">
      <c r="A222" s="139" t="str">
        <f>IF(E222="","",VLOOKUP('Opći dio'!$C$3,'Opći dio'!$L$6:$U$136,10,FALSE))</f>
        <v/>
      </c>
      <c r="B222" s="139" t="str">
        <f>IF(E222="","",VLOOKUP('Opći dio'!$C$3,'Opći dio'!$L$6:$U$136,9,FALSE))</f>
        <v/>
      </c>
      <c r="C222" s="187" t="str">
        <f t="shared" si="18"/>
        <v/>
      </c>
      <c r="D222" s="138" t="str">
        <f t="shared" si="19"/>
        <v/>
      </c>
      <c r="E222" s="150"/>
      <c r="F222" s="191" t="str">
        <f t="shared" si="20"/>
        <v/>
      </c>
      <c r="G222" s="185"/>
      <c r="H222" s="185"/>
      <c r="I222" s="185"/>
      <c r="K222" s="141" t="str">
        <f t="shared" si="21"/>
        <v/>
      </c>
      <c r="L222" s="141" t="str">
        <f t="shared" si="22"/>
        <v/>
      </c>
    </row>
    <row r="223" spans="1:12">
      <c r="A223" s="139" t="str">
        <f>IF(E223="","",VLOOKUP('Opći dio'!$C$3,'Opći dio'!$L$6:$U$136,10,FALSE))</f>
        <v/>
      </c>
      <c r="B223" s="139" t="str">
        <f>IF(E223="","",VLOOKUP('Opći dio'!$C$3,'Opći dio'!$L$6:$U$136,9,FALSE))</f>
        <v/>
      </c>
      <c r="C223" s="187" t="str">
        <f t="shared" si="18"/>
        <v/>
      </c>
      <c r="D223" s="138" t="str">
        <f t="shared" si="19"/>
        <v/>
      </c>
      <c r="E223" s="150"/>
      <c r="F223" s="191" t="str">
        <f t="shared" si="20"/>
        <v/>
      </c>
      <c r="G223" s="185"/>
      <c r="H223" s="185"/>
      <c r="I223" s="185"/>
      <c r="K223" s="141" t="str">
        <f t="shared" si="21"/>
        <v/>
      </c>
      <c r="L223" s="141" t="str">
        <f t="shared" si="22"/>
        <v/>
      </c>
    </row>
    <row r="224" spans="1:12">
      <c r="A224" s="139" t="str">
        <f>IF(E224="","",VLOOKUP('Opći dio'!$C$3,'Opći dio'!$L$6:$U$136,10,FALSE))</f>
        <v/>
      </c>
      <c r="B224" s="139" t="str">
        <f>IF(E224="","",VLOOKUP('Opći dio'!$C$3,'Opći dio'!$L$6:$U$136,9,FALSE))</f>
        <v/>
      </c>
      <c r="C224" s="187" t="str">
        <f t="shared" si="18"/>
        <v/>
      </c>
      <c r="D224" s="138" t="str">
        <f t="shared" si="19"/>
        <v/>
      </c>
      <c r="E224" s="150"/>
      <c r="F224" s="191" t="str">
        <f t="shared" si="20"/>
        <v/>
      </c>
      <c r="G224" s="185"/>
      <c r="H224" s="185"/>
      <c r="I224" s="185"/>
      <c r="K224" s="141" t="str">
        <f t="shared" si="21"/>
        <v/>
      </c>
      <c r="L224" s="141" t="str">
        <f t="shared" si="22"/>
        <v/>
      </c>
    </row>
    <row r="225" spans="1:12">
      <c r="A225" s="139" t="str">
        <f>IF(E225="","",VLOOKUP('Opći dio'!$C$3,'Opći dio'!$L$6:$U$136,10,FALSE))</f>
        <v/>
      </c>
      <c r="B225" s="139" t="str">
        <f>IF(E225="","",VLOOKUP('Opći dio'!$C$3,'Opći dio'!$L$6:$U$136,9,FALSE))</f>
        <v/>
      </c>
      <c r="C225" s="187" t="str">
        <f t="shared" si="18"/>
        <v/>
      </c>
      <c r="D225" s="138" t="str">
        <f t="shared" si="19"/>
        <v/>
      </c>
      <c r="E225" s="150"/>
      <c r="F225" s="191" t="str">
        <f t="shared" si="20"/>
        <v/>
      </c>
      <c r="G225" s="185"/>
      <c r="H225" s="185"/>
      <c r="I225" s="185"/>
      <c r="K225" s="141" t="str">
        <f t="shared" si="21"/>
        <v/>
      </c>
      <c r="L225" s="141" t="str">
        <f t="shared" si="22"/>
        <v/>
      </c>
    </row>
    <row r="226" spans="1:12">
      <c r="A226" s="139" t="str">
        <f>IF(E226="","",VLOOKUP('Opći dio'!$C$3,'Opći dio'!$L$6:$U$136,10,FALSE))</f>
        <v/>
      </c>
      <c r="B226" s="139" t="str">
        <f>IF(E226="","",VLOOKUP('Opći dio'!$C$3,'Opći dio'!$L$6:$U$136,9,FALSE))</f>
        <v/>
      </c>
      <c r="C226" s="187" t="str">
        <f t="shared" si="18"/>
        <v/>
      </c>
      <c r="D226" s="138" t="str">
        <f t="shared" si="19"/>
        <v/>
      </c>
      <c r="E226" s="150"/>
      <c r="F226" s="191" t="str">
        <f t="shared" si="20"/>
        <v/>
      </c>
      <c r="G226" s="185"/>
      <c r="H226" s="185"/>
      <c r="I226" s="185"/>
      <c r="K226" s="141" t="str">
        <f t="shared" si="21"/>
        <v/>
      </c>
      <c r="L226" s="141" t="str">
        <f t="shared" si="22"/>
        <v/>
      </c>
    </row>
    <row r="227" spans="1:12">
      <c r="A227" s="139" t="str">
        <f>IF(E227="","",VLOOKUP('Opći dio'!$C$3,'Opći dio'!$L$6:$U$136,10,FALSE))</f>
        <v/>
      </c>
      <c r="B227" s="139" t="str">
        <f>IF(E227="","",VLOOKUP('Opći dio'!$C$3,'Opći dio'!$L$6:$U$136,9,FALSE))</f>
        <v/>
      </c>
      <c r="C227" s="187" t="str">
        <f t="shared" si="18"/>
        <v/>
      </c>
      <c r="D227" s="138" t="str">
        <f t="shared" si="19"/>
        <v/>
      </c>
      <c r="E227" s="150"/>
      <c r="F227" s="191" t="str">
        <f t="shared" si="20"/>
        <v/>
      </c>
      <c r="G227" s="185"/>
      <c r="H227" s="185"/>
      <c r="I227" s="185"/>
      <c r="K227" s="141" t="str">
        <f t="shared" si="21"/>
        <v/>
      </c>
      <c r="L227" s="141" t="str">
        <f t="shared" si="22"/>
        <v/>
      </c>
    </row>
    <row r="228" spans="1:12">
      <c r="A228" s="139" t="str">
        <f>IF(E228="","",VLOOKUP('Opći dio'!$C$3,'Opći dio'!$L$6:$U$136,10,FALSE))</f>
        <v/>
      </c>
      <c r="B228" s="139" t="str">
        <f>IF(E228="","",VLOOKUP('Opći dio'!$C$3,'Opći dio'!$L$6:$U$136,9,FALSE))</f>
        <v/>
      </c>
      <c r="C228" s="187" t="str">
        <f t="shared" si="18"/>
        <v/>
      </c>
      <c r="D228" s="138" t="str">
        <f t="shared" si="19"/>
        <v/>
      </c>
      <c r="E228" s="150"/>
      <c r="F228" s="191" t="str">
        <f t="shared" si="20"/>
        <v/>
      </c>
      <c r="G228" s="185"/>
      <c r="H228" s="185"/>
      <c r="I228" s="185"/>
      <c r="K228" s="141" t="str">
        <f t="shared" si="21"/>
        <v/>
      </c>
      <c r="L228" s="141" t="str">
        <f t="shared" si="22"/>
        <v/>
      </c>
    </row>
    <row r="229" spans="1:12">
      <c r="A229" s="139" t="str">
        <f>IF(E229="","",VLOOKUP('Opći dio'!$C$3,'Opći dio'!$L$6:$U$136,10,FALSE))</f>
        <v/>
      </c>
      <c r="B229" s="139" t="str">
        <f>IF(E229="","",VLOOKUP('Opći dio'!$C$3,'Opći dio'!$L$6:$U$136,9,FALSE))</f>
        <v/>
      </c>
      <c r="C229" s="187" t="str">
        <f t="shared" si="18"/>
        <v/>
      </c>
      <c r="D229" s="138" t="str">
        <f t="shared" si="19"/>
        <v/>
      </c>
      <c r="E229" s="150"/>
      <c r="F229" s="191" t="str">
        <f t="shared" si="20"/>
        <v/>
      </c>
      <c r="G229" s="185"/>
      <c r="H229" s="185"/>
      <c r="I229" s="185"/>
      <c r="K229" s="141" t="str">
        <f t="shared" si="21"/>
        <v/>
      </c>
      <c r="L229" s="141" t="str">
        <f t="shared" si="22"/>
        <v/>
      </c>
    </row>
    <row r="230" spans="1:12">
      <c r="A230" s="139" t="str">
        <f>IF(E230="","",VLOOKUP('Opći dio'!$C$3,'Opći dio'!$L$6:$U$136,10,FALSE))</f>
        <v/>
      </c>
      <c r="B230" s="139" t="str">
        <f>IF(E230="","",VLOOKUP('Opći dio'!$C$3,'Opći dio'!$L$6:$U$136,9,FALSE))</f>
        <v/>
      </c>
      <c r="C230" s="187" t="str">
        <f t="shared" si="18"/>
        <v/>
      </c>
      <c r="D230" s="138" t="str">
        <f t="shared" si="19"/>
        <v/>
      </c>
      <c r="E230" s="150"/>
      <c r="F230" s="191" t="str">
        <f t="shared" si="20"/>
        <v/>
      </c>
      <c r="G230" s="185"/>
      <c r="H230" s="185"/>
      <c r="I230" s="185"/>
      <c r="K230" s="141" t="str">
        <f t="shared" si="21"/>
        <v/>
      </c>
      <c r="L230" s="141" t="str">
        <f t="shared" si="22"/>
        <v/>
      </c>
    </row>
    <row r="231" spans="1:12">
      <c r="A231" s="139" t="str">
        <f>IF(E231="","",VLOOKUP('Opći dio'!$C$3,'Opći dio'!$L$6:$U$136,10,FALSE))</f>
        <v/>
      </c>
      <c r="B231" s="139" t="str">
        <f>IF(E231="","",VLOOKUP('Opći dio'!$C$3,'Opći dio'!$L$6:$U$136,9,FALSE))</f>
        <v/>
      </c>
      <c r="C231" s="187" t="str">
        <f t="shared" si="18"/>
        <v/>
      </c>
      <c r="D231" s="138" t="str">
        <f t="shared" si="19"/>
        <v/>
      </c>
      <c r="E231" s="150"/>
      <c r="F231" s="191" t="str">
        <f t="shared" si="20"/>
        <v/>
      </c>
      <c r="G231" s="185"/>
      <c r="H231" s="185"/>
      <c r="I231" s="185"/>
      <c r="K231" s="141" t="str">
        <f t="shared" si="21"/>
        <v/>
      </c>
      <c r="L231" s="141" t="str">
        <f t="shared" si="22"/>
        <v/>
      </c>
    </row>
    <row r="232" spans="1:12">
      <c r="A232" s="139" t="str">
        <f>IF(E232="","",VLOOKUP('Opći dio'!$C$3,'Opći dio'!$L$6:$U$136,10,FALSE))</f>
        <v/>
      </c>
      <c r="B232" s="139" t="str">
        <f>IF(E232="","",VLOOKUP('Opći dio'!$C$3,'Opći dio'!$L$6:$U$136,9,FALSE))</f>
        <v/>
      </c>
      <c r="C232" s="187" t="str">
        <f t="shared" si="18"/>
        <v/>
      </c>
      <c r="D232" s="138" t="str">
        <f t="shared" si="19"/>
        <v/>
      </c>
      <c r="E232" s="150"/>
      <c r="F232" s="191" t="str">
        <f t="shared" si="20"/>
        <v/>
      </c>
      <c r="G232" s="185"/>
      <c r="H232" s="185"/>
      <c r="I232" s="185"/>
      <c r="K232" s="141" t="str">
        <f t="shared" si="21"/>
        <v/>
      </c>
      <c r="L232" s="141" t="str">
        <f t="shared" si="22"/>
        <v/>
      </c>
    </row>
    <row r="233" spans="1:12">
      <c r="A233" s="139" t="str">
        <f>IF(E233="","",VLOOKUP('Opći dio'!$C$3,'Opći dio'!$L$6:$U$136,10,FALSE))</f>
        <v/>
      </c>
      <c r="B233" s="139" t="str">
        <f>IF(E233="","",VLOOKUP('Opći dio'!$C$3,'Opći dio'!$L$6:$U$136,9,FALSE))</f>
        <v/>
      </c>
      <c r="C233" s="187" t="str">
        <f t="shared" si="18"/>
        <v/>
      </c>
      <c r="D233" s="138" t="str">
        <f t="shared" si="19"/>
        <v/>
      </c>
      <c r="E233" s="150"/>
      <c r="F233" s="191" t="str">
        <f t="shared" si="20"/>
        <v/>
      </c>
      <c r="G233" s="185"/>
      <c r="H233" s="185"/>
      <c r="I233" s="185"/>
      <c r="K233" s="141" t="str">
        <f t="shared" si="21"/>
        <v/>
      </c>
      <c r="L233" s="141" t="str">
        <f t="shared" si="22"/>
        <v/>
      </c>
    </row>
    <row r="234" spans="1:12">
      <c r="A234" s="139" t="str">
        <f>IF(E234="","",VLOOKUP('Opći dio'!$C$3,'Opći dio'!$L$6:$U$136,10,FALSE))</f>
        <v/>
      </c>
      <c r="B234" s="139" t="str">
        <f>IF(E234="","",VLOOKUP('Opći dio'!$C$3,'Opći dio'!$L$6:$U$136,9,FALSE))</f>
        <v/>
      </c>
      <c r="C234" s="187" t="str">
        <f t="shared" si="18"/>
        <v/>
      </c>
      <c r="D234" s="138" t="str">
        <f t="shared" si="19"/>
        <v/>
      </c>
      <c r="E234" s="150"/>
      <c r="F234" s="191" t="str">
        <f t="shared" si="20"/>
        <v/>
      </c>
      <c r="G234" s="185"/>
      <c r="H234" s="185"/>
      <c r="I234" s="185"/>
      <c r="K234" s="141" t="str">
        <f t="shared" si="21"/>
        <v/>
      </c>
      <c r="L234" s="141" t="str">
        <f t="shared" si="22"/>
        <v/>
      </c>
    </row>
    <row r="235" spans="1:12">
      <c r="A235" s="139" t="str">
        <f>IF(E235="","",VLOOKUP('Opći dio'!$C$3,'Opći dio'!$L$6:$U$136,10,FALSE))</f>
        <v/>
      </c>
      <c r="B235" s="139" t="str">
        <f>IF(E235="","",VLOOKUP('Opći dio'!$C$3,'Opći dio'!$L$6:$U$136,9,FALSE))</f>
        <v/>
      </c>
      <c r="C235" s="187" t="str">
        <f t="shared" si="18"/>
        <v/>
      </c>
      <c r="D235" s="138" t="str">
        <f t="shared" si="19"/>
        <v/>
      </c>
      <c r="E235" s="150"/>
      <c r="F235" s="191" t="str">
        <f t="shared" si="20"/>
        <v/>
      </c>
      <c r="G235" s="185"/>
      <c r="H235" s="185"/>
      <c r="I235" s="185"/>
      <c r="K235" s="141" t="str">
        <f t="shared" si="21"/>
        <v/>
      </c>
      <c r="L235" s="141" t="str">
        <f t="shared" si="22"/>
        <v/>
      </c>
    </row>
    <row r="236" spans="1:12">
      <c r="A236" s="139" t="str">
        <f>IF(E236="","",VLOOKUP('Opći dio'!$C$3,'Opći dio'!$L$6:$U$136,10,FALSE))</f>
        <v/>
      </c>
      <c r="B236" s="139" t="str">
        <f>IF(E236="","",VLOOKUP('Opći dio'!$C$3,'Opći dio'!$L$6:$U$136,9,FALSE))</f>
        <v/>
      </c>
      <c r="C236" s="187" t="str">
        <f t="shared" si="18"/>
        <v/>
      </c>
      <c r="D236" s="138" t="str">
        <f t="shared" si="19"/>
        <v/>
      </c>
      <c r="E236" s="150"/>
      <c r="F236" s="191" t="str">
        <f t="shared" si="20"/>
        <v/>
      </c>
      <c r="G236" s="185"/>
      <c r="H236" s="185"/>
      <c r="I236" s="185"/>
      <c r="K236" s="141" t="str">
        <f t="shared" si="21"/>
        <v/>
      </c>
      <c r="L236" s="141" t="str">
        <f t="shared" si="22"/>
        <v/>
      </c>
    </row>
    <row r="237" spans="1:12">
      <c r="A237" s="139" t="str">
        <f>IF(E237="","",VLOOKUP('Opći dio'!$C$3,'Opći dio'!$L$6:$U$136,10,FALSE))</f>
        <v/>
      </c>
      <c r="B237" s="139" t="str">
        <f>IF(E237="","",VLOOKUP('Opći dio'!$C$3,'Opći dio'!$L$6:$U$136,9,FALSE))</f>
        <v/>
      </c>
      <c r="C237" s="187" t="str">
        <f t="shared" si="18"/>
        <v/>
      </c>
      <c r="D237" s="138" t="str">
        <f t="shared" si="19"/>
        <v/>
      </c>
      <c r="E237" s="150"/>
      <c r="F237" s="191" t="str">
        <f t="shared" si="20"/>
        <v/>
      </c>
      <c r="G237" s="185"/>
      <c r="H237" s="185"/>
      <c r="I237" s="185"/>
      <c r="K237" s="141" t="str">
        <f t="shared" si="21"/>
        <v/>
      </c>
      <c r="L237" s="141" t="str">
        <f t="shared" si="22"/>
        <v/>
      </c>
    </row>
    <row r="238" spans="1:12">
      <c r="A238" s="139" t="str">
        <f>IF(E238="","",VLOOKUP('Opći dio'!$C$3,'Opći dio'!$L$6:$U$136,10,FALSE))</f>
        <v/>
      </c>
      <c r="B238" s="139" t="str">
        <f>IF(E238="","",VLOOKUP('Opći dio'!$C$3,'Opći dio'!$L$6:$U$136,9,FALSE))</f>
        <v/>
      </c>
      <c r="C238" s="187" t="str">
        <f t="shared" si="18"/>
        <v/>
      </c>
      <c r="D238" s="138" t="str">
        <f t="shared" si="19"/>
        <v/>
      </c>
      <c r="E238" s="150"/>
      <c r="F238" s="191" t="str">
        <f t="shared" si="20"/>
        <v/>
      </c>
      <c r="G238" s="185"/>
      <c r="H238" s="185"/>
      <c r="I238" s="185"/>
      <c r="K238" s="141" t="str">
        <f t="shared" si="21"/>
        <v/>
      </c>
      <c r="L238" s="141" t="str">
        <f t="shared" si="22"/>
        <v/>
      </c>
    </row>
    <row r="239" spans="1:12">
      <c r="A239" s="139" t="str">
        <f>IF(E239="","",VLOOKUP('Opći dio'!$C$3,'Opći dio'!$L$6:$U$136,10,FALSE))</f>
        <v/>
      </c>
      <c r="B239" s="139" t="str">
        <f>IF(E239="","",VLOOKUP('Opći dio'!$C$3,'Opći dio'!$L$6:$U$136,9,FALSE))</f>
        <v/>
      </c>
      <c r="C239" s="187" t="str">
        <f t="shared" si="18"/>
        <v/>
      </c>
      <c r="D239" s="138" t="str">
        <f t="shared" si="19"/>
        <v/>
      </c>
      <c r="E239" s="150"/>
      <c r="F239" s="191" t="str">
        <f t="shared" si="20"/>
        <v/>
      </c>
      <c r="G239" s="185"/>
      <c r="H239" s="185"/>
      <c r="I239" s="185"/>
      <c r="K239" s="141" t="str">
        <f t="shared" si="21"/>
        <v/>
      </c>
      <c r="L239" s="141" t="str">
        <f t="shared" si="22"/>
        <v/>
      </c>
    </row>
    <row r="240" spans="1:12">
      <c r="A240" s="139" t="str">
        <f>IF(E240="","",VLOOKUP('Opći dio'!$C$3,'Opći dio'!$L$6:$U$136,10,FALSE))</f>
        <v/>
      </c>
      <c r="B240" s="139" t="str">
        <f>IF(E240="","",VLOOKUP('Opći dio'!$C$3,'Opći dio'!$L$6:$U$136,9,FALSE))</f>
        <v/>
      </c>
      <c r="C240" s="187" t="str">
        <f t="shared" si="18"/>
        <v/>
      </c>
      <c r="D240" s="138" t="str">
        <f t="shared" si="19"/>
        <v/>
      </c>
      <c r="E240" s="150"/>
      <c r="F240" s="191" t="str">
        <f t="shared" si="20"/>
        <v/>
      </c>
      <c r="G240" s="185"/>
      <c r="H240" s="185"/>
      <c r="I240" s="185"/>
      <c r="K240" s="141" t="str">
        <f t="shared" si="21"/>
        <v/>
      </c>
      <c r="L240" s="141" t="str">
        <f t="shared" si="22"/>
        <v/>
      </c>
    </row>
    <row r="241" spans="1:12">
      <c r="A241" s="139" t="str">
        <f>IF(E241="","",VLOOKUP('Opći dio'!$C$3,'Opći dio'!$L$6:$U$136,10,FALSE))</f>
        <v/>
      </c>
      <c r="B241" s="139" t="str">
        <f>IF(E241="","",VLOOKUP('Opći dio'!$C$3,'Opći dio'!$L$6:$U$136,9,FALSE))</f>
        <v/>
      </c>
      <c r="C241" s="187" t="str">
        <f t="shared" si="18"/>
        <v/>
      </c>
      <c r="D241" s="138" t="str">
        <f t="shared" si="19"/>
        <v/>
      </c>
      <c r="E241" s="150"/>
      <c r="F241" s="191" t="str">
        <f t="shared" si="20"/>
        <v/>
      </c>
      <c r="G241" s="185"/>
      <c r="H241" s="185"/>
      <c r="I241" s="185"/>
      <c r="K241" s="141" t="str">
        <f t="shared" si="21"/>
        <v/>
      </c>
      <c r="L241" s="141" t="str">
        <f t="shared" si="22"/>
        <v/>
      </c>
    </row>
    <row r="242" spans="1:12">
      <c r="A242" s="139" t="str">
        <f>IF(E242="","",VLOOKUP('Opći dio'!$C$3,'Opći dio'!$L$6:$U$136,10,FALSE))</f>
        <v/>
      </c>
      <c r="B242" s="139" t="str">
        <f>IF(E242="","",VLOOKUP('Opći dio'!$C$3,'Opći dio'!$L$6:$U$136,9,FALSE))</f>
        <v/>
      </c>
      <c r="C242" s="187" t="str">
        <f t="shared" si="18"/>
        <v/>
      </c>
      <c r="D242" s="138" t="str">
        <f t="shared" si="19"/>
        <v/>
      </c>
      <c r="E242" s="150"/>
      <c r="F242" s="191" t="str">
        <f t="shared" si="20"/>
        <v/>
      </c>
      <c r="G242" s="185"/>
      <c r="H242" s="185"/>
      <c r="I242" s="185"/>
      <c r="K242" s="141" t="str">
        <f t="shared" si="21"/>
        <v/>
      </c>
      <c r="L242" s="141" t="str">
        <f t="shared" si="22"/>
        <v/>
      </c>
    </row>
    <row r="243" spans="1:12">
      <c r="A243" s="139" t="str">
        <f>IF(E243="","",VLOOKUP('Opći dio'!$C$3,'Opći dio'!$L$6:$U$136,10,FALSE))</f>
        <v/>
      </c>
      <c r="B243" s="139" t="str">
        <f>IF(E243="","",VLOOKUP('Opći dio'!$C$3,'Opći dio'!$L$6:$U$136,9,FALSE))</f>
        <v/>
      </c>
      <c r="C243" s="187" t="str">
        <f t="shared" si="18"/>
        <v/>
      </c>
      <c r="D243" s="138" t="str">
        <f t="shared" si="19"/>
        <v/>
      </c>
      <c r="E243" s="150"/>
      <c r="F243" s="191" t="str">
        <f t="shared" si="20"/>
        <v/>
      </c>
      <c r="G243" s="185"/>
      <c r="H243" s="185"/>
      <c r="I243" s="185"/>
      <c r="K243" s="141" t="str">
        <f t="shared" si="21"/>
        <v/>
      </c>
      <c r="L243" s="141" t="str">
        <f t="shared" si="22"/>
        <v/>
      </c>
    </row>
    <row r="244" spans="1:12">
      <c r="A244" s="139" t="str">
        <f>IF(E244="","",VLOOKUP('Opći dio'!$C$3,'Opći dio'!$L$6:$U$136,10,FALSE))</f>
        <v/>
      </c>
      <c r="B244" s="139" t="str">
        <f>IF(E244="","",VLOOKUP('Opći dio'!$C$3,'Opći dio'!$L$6:$U$136,9,FALSE))</f>
        <v/>
      </c>
      <c r="C244" s="187" t="str">
        <f t="shared" si="18"/>
        <v/>
      </c>
      <c r="D244" s="138" t="str">
        <f t="shared" si="19"/>
        <v/>
      </c>
      <c r="E244" s="150"/>
      <c r="F244" s="191" t="str">
        <f t="shared" si="20"/>
        <v/>
      </c>
      <c r="G244" s="185"/>
      <c r="H244" s="185"/>
      <c r="I244" s="185"/>
      <c r="K244" s="141" t="str">
        <f t="shared" si="21"/>
        <v/>
      </c>
      <c r="L244" s="141" t="str">
        <f t="shared" si="22"/>
        <v/>
      </c>
    </row>
    <row r="245" spans="1:12">
      <c r="A245" s="139" t="str">
        <f>IF(E245="","",VLOOKUP('Opći dio'!$C$3,'Opći dio'!$L$6:$U$136,10,FALSE))</f>
        <v/>
      </c>
      <c r="B245" s="139" t="str">
        <f>IF(E245="","",VLOOKUP('Opći dio'!$C$3,'Opći dio'!$L$6:$U$136,9,FALSE))</f>
        <v/>
      </c>
      <c r="C245" s="187" t="str">
        <f t="shared" si="18"/>
        <v/>
      </c>
      <c r="D245" s="138" t="str">
        <f t="shared" si="19"/>
        <v/>
      </c>
      <c r="E245" s="150"/>
      <c r="F245" s="191" t="str">
        <f t="shared" si="20"/>
        <v/>
      </c>
      <c r="G245" s="185"/>
      <c r="H245" s="185"/>
      <c r="I245" s="185"/>
      <c r="K245" s="141" t="str">
        <f t="shared" si="21"/>
        <v/>
      </c>
      <c r="L245" s="141" t="str">
        <f t="shared" si="22"/>
        <v/>
      </c>
    </row>
    <row r="246" spans="1:12">
      <c r="A246" s="139" t="str">
        <f>IF(E246="","",VLOOKUP('Opći dio'!$C$3,'Opći dio'!$L$6:$U$136,10,FALSE))</f>
        <v/>
      </c>
      <c r="B246" s="139" t="str">
        <f>IF(E246="","",VLOOKUP('Opći dio'!$C$3,'Opći dio'!$L$6:$U$136,9,FALSE))</f>
        <v/>
      </c>
      <c r="C246" s="187" t="str">
        <f t="shared" si="18"/>
        <v/>
      </c>
      <c r="D246" s="138" t="str">
        <f t="shared" si="19"/>
        <v/>
      </c>
      <c r="E246" s="150"/>
      <c r="F246" s="191" t="str">
        <f t="shared" si="20"/>
        <v/>
      </c>
      <c r="G246" s="185"/>
      <c r="H246" s="185"/>
      <c r="I246" s="185"/>
      <c r="K246" s="141" t="str">
        <f t="shared" si="21"/>
        <v/>
      </c>
      <c r="L246" s="141" t="str">
        <f t="shared" si="22"/>
        <v/>
      </c>
    </row>
    <row r="247" spans="1:12">
      <c r="A247" s="139" t="str">
        <f>IF(E247="","",VLOOKUP('Opći dio'!$C$3,'Opći dio'!$L$6:$U$136,10,FALSE))</f>
        <v/>
      </c>
      <c r="B247" s="139" t="str">
        <f>IF(E247="","",VLOOKUP('Opći dio'!$C$3,'Opći dio'!$L$6:$U$136,9,FALSE))</f>
        <v/>
      </c>
      <c r="C247" s="187" t="str">
        <f t="shared" si="18"/>
        <v/>
      </c>
      <c r="D247" s="138" t="str">
        <f t="shared" si="19"/>
        <v/>
      </c>
      <c r="E247" s="150"/>
      <c r="F247" s="191" t="str">
        <f t="shared" si="20"/>
        <v/>
      </c>
      <c r="G247" s="185"/>
      <c r="H247" s="185"/>
      <c r="I247" s="185"/>
      <c r="K247" s="141" t="str">
        <f t="shared" si="21"/>
        <v/>
      </c>
      <c r="L247" s="141" t="str">
        <f t="shared" si="22"/>
        <v/>
      </c>
    </row>
    <row r="248" spans="1:12">
      <c r="A248" s="139" t="str">
        <f>IF(E248="","",VLOOKUP('Opći dio'!$C$3,'Opći dio'!$L$6:$U$136,10,FALSE))</f>
        <v/>
      </c>
      <c r="B248" s="139" t="str">
        <f>IF(E248="","",VLOOKUP('Opći dio'!$C$3,'Opći dio'!$L$6:$U$136,9,FALSE))</f>
        <v/>
      </c>
      <c r="C248" s="187" t="str">
        <f t="shared" si="18"/>
        <v/>
      </c>
      <c r="D248" s="138" t="str">
        <f t="shared" si="19"/>
        <v/>
      </c>
      <c r="E248" s="150"/>
      <c r="F248" s="191" t="str">
        <f t="shared" si="20"/>
        <v/>
      </c>
      <c r="G248" s="185"/>
      <c r="H248" s="185"/>
      <c r="I248" s="185"/>
      <c r="K248" s="141" t="str">
        <f t="shared" si="21"/>
        <v/>
      </c>
      <c r="L248" s="141" t="str">
        <f t="shared" si="22"/>
        <v/>
      </c>
    </row>
    <row r="249" spans="1:12">
      <c r="A249" s="139" t="str">
        <f>IF(E249="","",VLOOKUP('Opći dio'!$C$3,'Opći dio'!$L$6:$U$136,10,FALSE))</f>
        <v/>
      </c>
      <c r="B249" s="139" t="str">
        <f>IF(E249="","",VLOOKUP('Opći dio'!$C$3,'Opći dio'!$L$6:$U$136,9,FALSE))</f>
        <v/>
      </c>
      <c r="C249" s="187" t="str">
        <f t="shared" si="18"/>
        <v/>
      </c>
      <c r="D249" s="138" t="str">
        <f t="shared" si="19"/>
        <v/>
      </c>
      <c r="E249" s="150"/>
      <c r="F249" s="191" t="str">
        <f t="shared" si="20"/>
        <v/>
      </c>
      <c r="G249" s="185"/>
      <c r="H249" s="185"/>
      <c r="I249" s="185"/>
      <c r="K249" s="141" t="str">
        <f t="shared" si="21"/>
        <v/>
      </c>
      <c r="L249" s="141" t="str">
        <f t="shared" si="22"/>
        <v/>
      </c>
    </row>
    <row r="250" spans="1:12">
      <c r="A250" s="139" t="str">
        <f>IF(E250="","",VLOOKUP('Opći dio'!$C$3,'Opći dio'!$L$6:$U$136,10,FALSE))</f>
        <v/>
      </c>
      <c r="B250" s="139" t="str">
        <f>IF(E250="","",VLOOKUP('Opći dio'!$C$3,'Opći dio'!$L$6:$U$136,9,FALSE))</f>
        <v/>
      </c>
      <c r="C250" s="187" t="str">
        <f t="shared" si="18"/>
        <v/>
      </c>
      <c r="D250" s="138" t="str">
        <f t="shared" si="19"/>
        <v/>
      </c>
      <c r="E250" s="150"/>
      <c r="F250" s="191" t="str">
        <f t="shared" si="20"/>
        <v/>
      </c>
      <c r="G250" s="185"/>
      <c r="H250" s="185"/>
      <c r="I250" s="185"/>
      <c r="K250" s="141" t="str">
        <f t="shared" si="21"/>
        <v/>
      </c>
      <c r="L250" s="141" t="str">
        <f t="shared" si="22"/>
        <v/>
      </c>
    </row>
    <row r="251" spans="1:12">
      <c r="A251" s="139" t="str">
        <f>IF(E251="","",VLOOKUP('Opći dio'!$C$3,'Opći dio'!$L$6:$U$136,10,FALSE))</f>
        <v/>
      </c>
      <c r="B251" s="139" t="str">
        <f>IF(E251="","",VLOOKUP('Opći dio'!$C$3,'Opći dio'!$L$6:$U$136,9,FALSE))</f>
        <v/>
      </c>
      <c r="C251" s="187" t="str">
        <f t="shared" si="18"/>
        <v/>
      </c>
      <c r="D251" s="138" t="str">
        <f t="shared" si="19"/>
        <v/>
      </c>
      <c r="E251" s="150"/>
      <c r="F251" s="191" t="str">
        <f t="shared" si="20"/>
        <v/>
      </c>
      <c r="G251" s="185"/>
      <c r="H251" s="185"/>
      <c r="I251" s="185"/>
      <c r="K251" s="141" t="str">
        <f t="shared" si="21"/>
        <v/>
      </c>
      <c r="L251" s="141" t="str">
        <f t="shared" si="22"/>
        <v/>
      </c>
    </row>
    <row r="252" spans="1:12">
      <c r="A252" s="139" t="str">
        <f>IF(E252="","",VLOOKUP('Opći dio'!$C$3,'Opći dio'!$L$6:$U$136,10,FALSE))</f>
        <v/>
      </c>
      <c r="B252" s="139" t="str">
        <f>IF(E252="","",VLOOKUP('Opći dio'!$C$3,'Opći dio'!$L$6:$U$136,9,FALSE))</f>
        <v/>
      </c>
      <c r="C252" s="187" t="str">
        <f t="shared" si="18"/>
        <v/>
      </c>
      <c r="D252" s="138" t="str">
        <f t="shared" si="19"/>
        <v/>
      </c>
      <c r="E252" s="150"/>
      <c r="F252" s="191" t="str">
        <f t="shared" si="20"/>
        <v/>
      </c>
      <c r="G252" s="185"/>
      <c r="H252" s="185"/>
      <c r="I252" s="185"/>
      <c r="K252" s="141" t="str">
        <f t="shared" si="21"/>
        <v/>
      </c>
      <c r="L252" s="141" t="str">
        <f t="shared" si="22"/>
        <v/>
      </c>
    </row>
    <row r="253" spans="1:12">
      <c r="A253" s="139" t="str">
        <f>IF(E253="","",VLOOKUP('Opći dio'!$C$3,'Opći dio'!$L$6:$U$136,10,FALSE))</f>
        <v/>
      </c>
      <c r="B253" s="139" t="str">
        <f>IF(E253="","",VLOOKUP('Opći dio'!$C$3,'Opći dio'!$L$6:$U$136,9,FALSE))</f>
        <v/>
      </c>
      <c r="C253" s="187" t="str">
        <f t="shared" si="18"/>
        <v/>
      </c>
      <c r="D253" s="138" t="str">
        <f t="shared" si="19"/>
        <v/>
      </c>
      <c r="E253" s="150"/>
      <c r="F253" s="191" t="str">
        <f t="shared" si="20"/>
        <v/>
      </c>
      <c r="G253" s="185"/>
      <c r="H253" s="185"/>
      <c r="I253" s="185"/>
      <c r="K253" s="141" t="str">
        <f t="shared" si="21"/>
        <v/>
      </c>
      <c r="L253" s="141" t="str">
        <f t="shared" si="22"/>
        <v/>
      </c>
    </row>
    <row r="254" spans="1:12">
      <c r="A254" s="139" t="str">
        <f>IF(E254="","",VLOOKUP('Opći dio'!$C$3,'Opći dio'!$L$6:$U$136,10,FALSE))</f>
        <v/>
      </c>
      <c r="B254" s="139" t="str">
        <f>IF(E254="","",VLOOKUP('Opći dio'!$C$3,'Opći dio'!$L$6:$U$136,9,FALSE))</f>
        <v/>
      </c>
      <c r="C254" s="187" t="str">
        <f t="shared" si="18"/>
        <v/>
      </c>
      <c r="D254" s="138" t="str">
        <f t="shared" si="19"/>
        <v/>
      </c>
      <c r="E254" s="150"/>
      <c r="F254" s="191" t="str">
        <f t="shared" si="20"/>
        <v/>
      </c>
      <c r="G254" s="185"/>
      <c r="H254" s="185"/>
      <c r="I254" s="185"/>
      <c r="K254" s="141" t="str">
        <f t="shared" si="21"/>
        <v/>
      </c>
      <c r="L254" s="141" t="str">
        <f t="shared" si="22"/>
        <v/>
      </c>
    </row>
    <row r="255" spans="1:12">
      <c r="A255" s="139" t="str">
        <f>IF(E255="","",VLOOKUP('Opći dio'!$C$3,'Opći dio'!$L$6:$U$136,10,FALSE))</f>
        <v/>
      </c>
      <c r="B255" s="139" t="str">
        <f>IF(E255="","",VLOOKUP('Opći dio'!$C$3,'Opći dio'!$L$6:$U$136,9,FALSE))</f>
        <v/>
      </c>
      <c r="C255" s="187" t="str">
        <f t="shared" si="18"/>
        <v/>
      </c>
      <c r="D255" s="138" t="str">
        <f t="shared" si="19"/>
        <v/>
      </c>
      <c r="E255" s="150"/>
      <c r="F255" s="191" t="str">
        <f t="shared" si="20"/>
        <v/>
      </c>
      <c r="G255" s="185"/>
      <c r="H255" s="185"/>
      <c r="I255" s="185"/>
      <c r="K255" s="141" t="str">
        <f t="shared" si="21"/>
        <v/>
      </c>
      <c r="L255" s="141" t="str">
        <f t="shared" si="22"/>
        <v/>
      </c>
    </row>
    <row r="256" spans="1:12">
      <c r="A256" s="139" t="str">
        <f>IF(E256="","",VLOOKUP('Opći dio'!$C$3,'Opći dio'!$L$6:$U$136,10,FALSE))</f>
        <v/>
      </c>
      <c r="B256" s="139" t="str">
        <f>IF(E256="","",VLOOKUP('Opći dio'!$C$3,'Opći dio'!$L$6:$U$136,9,FALSE))</f>
        <v/>
      </c>
      <c r="C256" s="187" t="str">
        <f t="shared" si="18"/>
        <v/>
      </c>
      <c r="D256" s="138" t="str">
        <f t="shared" si="19"/>
        <v/>
      </c>
      <c r="E256" s="150"/>
      <c r="F256" s="191" t="str">
        <f t="shared" si="20"/>
        <v/>
      </c>
      <c r="G256" s="185"/>
      <c r="H256" s="185"/>
      <c r="I256" s="185"/>
      <c r="K256" s="141" t="str">
        <f t="shared" si="21"/>
        <v/>
      </c>
      <c r="L256" s="141" t="str">
        <f t="shared" si="22"/>
        <v/>
      </c>
    </row>
    <row r="257" spans="1:12">
      <c r="A257" s="139" t="str">
        <f>IF(E257="","",VLOOKUP('Opći dio'!$C$3,'Opći dio'!$L$6:$U$136,10,FALSE))</f>
        <v/>
      </c>
      <c r="B257" s="139" t="str">
        <f>IF(E257="","",VLOOKUP('Opći dio'!$C$3,'Opći dio'!$L$6:$U$136,9,FALSE))</f>
        <v/>
      </c>
      <c r="C257" s="187" t="str">
        <f t="shared" si="18"/>
        <v/>
      </c>
      <c r="D257" s="138" t="str">
        <f t="shared" si="19"/>
        <v/>
      </c>
      <c r="E257" s="150"/>
      <c r="F257" s="191" t="str">
        <f t="shared" si="20"/>
        <v/>
      </c>
      <c r="G257" s="185"/>
      <c r="H257" s="185"/>
      <c r="I257" s="185"/>
      <c r="K257" s="141" t="str">
        <f t="shared" si="21"/>
        <v/>
      </c>
      <c r="L257" s="141" t="str">
        <f t="shared" si="22"/>
        <v/>
      </c>
    </row>
    <row r="258" spans="1:12">
      <c r="A258" s="139" t="str">
        <f>IF(E258="","",VLOOKUP('Opći dio'!$C$3,'Opći dio'!$L$6:$U$136,10,FALSE))</f>
        <v/>
      </c>
      <c r="B258" s="139" t="str">
        <f>IF(E258="","",VLOOKUP('Opći dio'!$C$3,'Opći dio'!$L$6:$U$136,9,FALSE))</f>
        <v/>
      </c>
      <c r="C258" s="187" t="str">
        <f t="shared" si="18"/>
        <v/>
      </c>
      <c r="D258" s="138" t="str">
        <f t="shared" si="19"/>
        <v/>
      </c>
      <c r="E258" s="150"/>
      <c r="F258" s="191" t="str">
        <f t="shared" si="20"/>
        <v/>
      </c>
      <c r="G258" s="185"/>
      <c r="H258" s="185"/>
      <c r="I258" s="185"/>
      <c r="K258" s="141" t="str">
        <f t="shared" si="21"/>
        <v/>
      </c>
      <c r="L258" s="141" t="str">
        <f t="shared" si="22"/>
        <v/>
      </c>
    </row>
    <row r="259" spans="1:12">
      <c r="A259" s="139" t="str">
        <f>IF(E259="","",VLOOKUP('Opći dio'!$C$3,'Opći dio'!$L$6:$U$136,10,FALSE))</f>
        <v/>
      </c>
      <c r="B259" s="139" t="str">
        <f>IF(E259="","",VLOOKUP('Opći dio'!$C$3,'Opći dio'!$L$6:$U$136,9,FALSE))</f>
        <v/>
      </c>
      <c r="C259" s="187" t="str">
        <f t="shared" si="18"/>
        <v/>
      </c>
      <c r="D259" s="138" t="str">
        <f t="shared" si="19"/>
        <v/>
      </c>
      <c r="E259" s="150"/>
      <c r="F259" s="191" t="str">
        <f t="shared" si="20"/>
        <v/>
      </c>
      <c r="G259" s="185"/>
      <c r="H259" s="185"/>
      <c r="I259" s="185"/>
      <c r="K259" s="141" t="str">
        <f t="shared" si="21"/>
        <v/>
      </c>
      <c r="L259" s="141" t="str">
        <f t="shared" si="22"/>
        <v/>
      </c>
    </row>
    <row r="260" spans="1:12">
      <c r="A260" s="139" t="str">
        <f>IF(E260="","",VLOOKUP('Opći dio'!$C$3,'Opći dio'!$L$6:$U$136,10,FALSE))</f>
        <v/>
      </c>
      <c r="B260" s="139" t="str">
        <f>IF(E260="","",VLOOKUP('Opći dio'!$C$3,'Opći dio'!$L$6:$U$136,9,FALSE))</f>
        <v/>
      </c>
      <c r="C260" s="187" t="str">
        <f t="shared" ref="C260:C323" si="23">IFERROR(VLOOKUP(E260,$Q$6:$T$200,3,FALSE),"")</f>
        <v/>
      </c>
      <c r="D260" s="138" t="str">
        <f t="shared" ref="D260:D323" si="24">IFERROR(VLOOKUP(E260,$Q$6:$T$200,4,FALSE),"")</f>
        <v/>
      </c>
      <c r="E260" s="150"/>
      <c r="F260" s="191" t="str">
        <f t="shared" ref="F260:F323" si="25">IFERROR(VLOOKUP(E260,$Q$6:$T$200,2,FALSE),"")</f>
        <v/>
      </c>
      <c r="G260" s="185"/>
      <c r="H260" s="185"/>
      <c r="I260" s="185"/>
      <c r="K260" s="141" t="str">
        <f t="shared" ref="K260:K323" si="26">LEFT(E260,3)</f>
        <v/>
      </c>
      <c r="L260" s="141" t="str">
        <f t="shared" ref="L260:L323" si="27">LEFT(E260,2)</f>
        <v/>
      </c>
    </row>
    <row r="261" spans="1:12">
      <c r="A261" s="139" t="str">
        <f>IF(E261="","",VLOOKUP('Opći dio'!$C$3,'Opći dio'!$L$6:$U$136,10,FALSE))</f>
        <v/>
      </c>
      <c r="B261" s="139" t="str">
        <f>IF(E261="","",VLOOKUP('Opći dio'!$C$3,'Opći dio'!$L$6:$U$136,9,FALSE))</f>
        <v/>
      </c>
      <c r="C261" s="187" t="str">
        <f t="shared" si="23"/>
        <v/>
      </c>
      <c r="D261" s="138" t="str">
        <f t="shared" si="24"/>
        <v/>
      </c>
      <c r="E261" s="150"/>
      <c r="F261" s="191" t="str">
        <f t="shared" si="25"/>
        <v/>
      </c>
      <c r="G261" s="185"/>
      <c r="H261" s="185"/>
      <c r="I261" s="185"/>
      <c r="K261" s="141" t="str">
        <f t="shared" si="26"/>
        <v/>
      </c>
      <c r="L261" s="141" t="str">
        <f t="shared" si="27"/>
        <v/>
      </c>
    </row>
    <row r="262" spans="1:12">
      <c r="A262" s="139" t="str">
        <f>IF(E262="","",VLOOKUP('Opći dio'!$C$3,'Opći dio'!$L$6:$U$136,10,FALSE))</f>
        <v/>
      </c>
      <c r="B262" s="139" t="str">
        <f>IF(E262="","",VLOOKUP('Opći dio'!$C$3,'Opći dio'!$L$6:$U$136,9,FALSE))</f>
        <v/>
      </c>
      <c r="C262" s="187" t="str">
        <f t="shared" si="23"/>
        <v/>
      </c>
      <c r="D262" s="138" t="str">
        <f t="shared" si="24"/>
        <v/>
      </c>
      <c r="E262" s="150"/>
      <c r="F262" s="191" t="str">
        <f t="shared" si="25"/>
        <v/>
      </c>
      <c r="G262" s="185"/>
      <c r="H262" s="185"/>
      <c r="I262" s="185"/>
      <c r="K262" s="141" t="str">
        <f t="shared" si="26"/>
        <v/>
      </c>
      <c r="L262" s="141" t="str">
        <f t="shared" si="27"/>
        <v/>
      </c>
    </row>
    <row r="263" spans="1:12">
      <c r="A263" s="139" t="str">
        <f>IF(E263="","",VLOOKUP('Opći dio'!$C$3,'Opći dio'!$L$6:$U$136,10,FALSE))</f>
        <v/>
      </c>
      <c r="B263" s="139" t="str">
        <f>IF(E263="","",VLOOKUP('Opći dio'!$C$3,'Opći dio'!$L$6:$U$136,9,FALSE))</f>
        <v/>
      </c>
      <c r="C263" s="187" t="str">
        <f t="shared" si="23"/>
        <v/>
      </c>
      <c r="D263" s="138" t="str">
        <f t="shared" si="24"/>
        <v/>
      </c>
      <c r="E263" s="150"/>
      <c r="F263" s="191" t="str">
        <f t="shared" si="25"/>
        <v/>
      </c>
      <c r="G263" s="185"/>
      <c r="H263" s="185"/>
      <c r="I263" s="185"/>
      <c r="K263" s="141" t="str">
        <f t="shared" si="26"/>
        <v/>
      </c>
      <c r="L263" s="141" t="str">
        <f t="shared" si="27"/>
        <v/>
      </c>
    </row>
    <row r="264" spans="1:12">
      <c r="A264" s="139" t="str">
        <f>IF(E264="","",VLOOKUP('Opći dio'!$C$3,'Opći dio'!$L$6:$U$136,10,FALSE))</f>
        <v/>
      </c>
      <c r="B264" s="139" t="str">
        <f>IF(E264="","",VLOOKUP('Opći dio'!$C$3,'Opći dio'!$L$6:$U$136,9,FALSE))</f>
        <v/>
      </c>
      <c r="C264" s="187" t="str">
        <f t="shared" si="23"/>
        <v/>
      </c>
      <c r="D264" s="138" t="str">
        <f t="shared" si="24"/>
        <v/>
      </c>
      <c r="E264" s="150"/>
      <c r="F264" s="191" t="str">
        <f t="shared" si="25"/>
        <v/>
      </c>
      <c r="G264" s="185"/>
      <c r="H264" s="185"/>
      <c r="I264" s="185"/>
      <c r="K264" s="141" t="str">
        <f t="shared" si="26"/>
        <v/>
      </c>
      <c r="L264" s="141" t="str">
        <f t="shared" si="27"/>
        <v/>
      </c>
    </row>
    <row r="265" spans="1:12">
      <c r="A265" s="139" t="str">
        <f>IF(E265="","",VLOOKUP('Opći dio'!$C$3,'Opći dio'!$L$6:$U$136,10,FALSE))</f>
        <v/>
      </c>
      <c r="B265" s="139" t="str">
        <f>IF(E265="","",VLOOKUP('Opći dio'!$C$3,'Opći dio'!$L$6:$U$136,9,FALSE))</f>
        <v/>
      </c>
      <c r="C265" s="187" t="str">
        <f t="shared" si="23"/>
        <v/>
      </c>
      <c r="D265" s="138" t="str">
        <f t="shared" si="24"/>
        <v/>
      </c>
      <c r="E265" s="150"/>
      <c r="F265" s="191" t="str">
        <f t="shared" si="25"/>
        <v/>
      </c>
      <c r="G265" s="185"/>
      <c r="H265" s="185"/>
      <c r="I265" s="185"/>
      <c r="K265" s="141" t="str">
        <f t="shared" si="26"/>
        <v/>
      </c>
      <c r="L265" s="141" t="str">
        <f t="shared" si="27"/>
        <v/>
      </c>
    </row>
    <row r="266" spans="1:12">
      <c r="A266" s="139" t="str">
        <f>IF(E266="","",VLOOKUP('Opći dio'!$C$3,'Opći dio'!$L$6:$U$136,10,FALSE))</f>
        <v/>
      </c>
      <c r="B266" s="139" t="str">
        <f>IF(E266="","",VLOOKUP('Opći dio'!$C$3,'Opći dio'!$L$6:$U$136,9,FALSE))</f>
        <v/>
      </c>
      <c r="C266" s="187" t="str">
        <f t="shared" si="23"/>
        <v/>
      </c>
      <c r="D266" s="138" t="str">
        <f t="shared" si="24"/>
        <v/>
      </c>
      <c r="E266" s="150"/>
      <c r="F266" s="191" t="str">
        <f t="shared" si="25"/>
        <v/>
      </c>
      <c r="G266" s="185"/>
      <c r="H266" s="185"/>
      <c r="I266" s="185"/>
      <c r="K266" s="141" t="str">
        <f t="shared" si="26"/>
        <v/>
      </c>
      <c r="L266" s="141" t="str">
        <f t="shared" si="27"/>
        <v/>
      </c>
    </row>
    <row r="267" spans="1:12">
      <c r="A267" s="139" t="str">
        <f>IF(E267="","",VLOOKUP('Opći dio'!$C$3,'Opći dio'!$L$6:$U$136,10,FALSE))</f>
        <v/>
      </c>
      <c r="B267" s="139" t="str">
        <f>IF(E267="","",VLOOKUP('Opći dio'!$C$3,'Opći dio'!$L$6:$U$136,9,FALSE))</f>
        <v/>
      </c>
      <c r="C267" s="187" t="str">
        <f t="shared" si="23"/>
        <v/>
      </c>
      <c r="D267" s="138" t="str">
        <f t="shared" si="24"/>
        <v/>
      </c>
      <c r="E267" s="150"/>
      <c r="F267" s="191" t="str">
        <f t="shared" si="25"/>
        <v/>
      </c>
      <c r="G267" s="185"/>
      <c r="H267" s="185"/>
      <c r="I267" s="185"/>
      <c r="K267" s="141" t="str">
        <f t="shared" si="26"/>
        <v/>
      </c>
      <c r="L267" s="141" t="str">
        <f t="shared" si="27"/>
        <v/>
      </c>
    </row>
    <row r="268" spans="1:12">
      <c r="A268" s="139" t="str">
        <f>IF(E268="","",VLOOKUP('Opći dio'!$C$3,'Opći dio'!$L$6:$U$136,10,FALSE))</f>
        <v/>
      </c>
      <c r="B268" s="139" t="str">
        <f>IF(E268="","",VLOOKUP('Opći dio'!$C$3,'Opći dio'!$L$6:$U$136,9,FALSE))</f>
        <v/>
      </c>
      <c r="C268" s="187" t="str">
        <f t="shared" si="23"/>
        <v/>
      </c>
      <c r="D268" s="138" t="str">
        <f t="shared" si="24"/>
        <v/>
      </c>
      <c r="E268" s="150"/>
      <c r="F268" s="191" t="str">
        <f t="shared" si="25"/>
        <v/>
      </c>
      <c r="G268" s="185"/>
      <c r="H268" s="185"/>
      <c r="I268" s="185"/>
      <c r="K268" s="141" t="str">
        <f t="shared" si="26"/>
        <v/>
      </c>
      <c r="L268" s="141" t="str">
        <f t="shared" si="27"/>
        <v/>
      </c>
    </row>
    <row r="269" spans="1:12">
      <c r="A269" s="139" t="str">
        <f>IF(E269="","",VLOOKUP('Opći dio'!$C$3,'Opći dio'!$L$6:$U$136,10,FALSE))</f>
        <v/>
      </c>
      <c r="B269" s="139" t="str">
        <f>IF(E269="","",VLOOKUP('Opći dio'!$C$3,'Opći dio'!$L$6:$U$136,9,FALSE))</f>
        <v/>
      </c>
      <c r="C269" s="187" t="str">
        <f t="shared" si="23"/>
        <v/>
      </c>
      <c r="D269" s="138" t="str">
        <f t="shared" si="24"/>
        <v/>
      </c>
      <c r="E269" s="150"/>
      <c r="F269" s="191" t="str">
        <f t="shared" si="25"/>
        <v/>
      </c>
      <c r="G269" s="185"/>
      <c r="H269" s="185"/>
      <c r="I269" s="185"/>
      <c r="K269" s="141" t="str">
        <f t="shared" si="26"/>
        <v/>
      </c>
      <c r="L269" s="141" t="str">
        <f t="shared" si="27"/>
        <v/>
      </c>
    </row>
    <row r="270" spans="1:12">
      <c r="A270" s="139" t="str">
        <f>IF(E270="","",VLOOKUP('Opći dio'!$C$3,'Opći dio'!$L$6:$U$136,10,FALSE))</f>
        <v/>
      </c>
      <c r="B270" s="139" t="str">
        <f>IF(E270="","",VLOOKUP('Opći dio'!$C$3,'Opći dio'!$L$6:$U$136,9,FALSE))</f>
        <v/>
      </c>
      <c r="C270" s="187" t="str">
        <f t="shared" si="23"/>
        <v/>
      </c>
      <c r="D270" s="138" t="str">
        <f t="shared" si="24"/>
        <v/>
      </c>
      <c r="E270" s="150"/>
      <c r="F270" s="191" t="str">
        <f t="shared" si="25"/>
        <v/>
      </c>
      <c r="G270" s="185"/>
      <c r="H270" s="185"/>
      <c r="I270" s="185"/>
      <c r="K270" s="141" t="str">
        <f t="shared" si="26"/>
        <v/>
      </c>
      <c r="L270" s="141" t="str">
        <f t="shared" si="27"/>
        <v/>
      </c>
    </row>
    <row r="271" spans="1:12">
      <c r="A271" s="139" t="str">
        <f>IF(E271="","",VLOOKUP('Opći dio'!$C$3,'Opći dio'!$L$6:$U$136,10,FALSE))</f>
        <v/>
      </c>
      <c r="B271" s="139" t="str">
        <f>IF(E271="","",VLOOKUP('Opći dio'!$C$3,'Opći dio'!$L$6:$U$136,9,FALSE))</f>
        <v/>
      </c>
      <c r="C271" s="187" t="str">
        <f t="shared" si="23"/>
        <v/>
      </c>
      <c r="D271" s="138" t="str">
        <f t="shared" si="24"/>
        <v/>
      </c>
      <c r="E271" s="150"/>
      <c r="F271" s="191" t="str">
        <f t="shared" si="25"/>
        <v/>
      </c>
      <c r="G271" s="185"/>
      <c r="H271" s="185"/>
      <c r="I271" s="185"/>
      <c r="K271" s="141" t="str">
        <f t="shared" si="26"/>
        <v/>
      </c>
      <c r="L271" s="141" t="str">
        <f t="shared" si="27"/>
        <v/>
      </c>
    </row>
    <row r="272" spans="1:12">
      <c r="A272" s="139" t="str">
        <f>IF(E272="","",VLOOKUP('Opći dio'!$C$3,'Opći dio'!$L$6:$U$136,10,FALSE))</f>
        <v/>
      </c>
      <c r="B272" s="139" t="str">
        <f>IF(E272="","",VLOOKUP('Opći dio'!$C$3,'Opći dio'!$L$6:$U$136,9,FALSE))</f>
        <v/>
      </c>
      <c r="C272" s="187" t="str">
        <f t="shared" si="23"/>
        <v/>
      </c>
      <c r="D272" s="138" t="str">
        <f t="shared" si="24"/>
        <v/>
      </c>
      <c r="E272" s="150"/>
      <c r="F272" s="191" t="str">
        <f t="shared" si="25"/>
        <v/>
      </c>
      <c r="G272" s="185"/>
      <c r="H272" s="185"/>
      <c r="I272" s="185"/>
      <c r="K272" s="141" t="str">
        <f t="shared" si="26"/>
        <v/>
      </c>
      <c r="L272" s="141" t="str">
        <f t="shared" si="27"/>
        <v/>
      </c>
    </row>
    <row r="273" spans="1:12">
      <c r="A273" s="139" t="str">
        <f>IF(E273="","",VLOOKUP('Opći dio'!$C$3,'Opći dio'!$L$6:$U$136,10,FALSE))</f>
        <v/>
      </c>
      <c r="B273" s="139" t="str">
        <f>IF(E273="","",VLOOKUP('Opći dio'!$C$3,'Opći dio'!$L$6:$U$136,9,FALSE))</f>
        <v/>
      </c>
      <c r="C273" s="187" t="str">
        <f t="shared" si="23"/>
        <v/>
      </c>
      <c r="D273" s="138" t="str">
        <f t="shared" si="24"/>
        <v/>
      </c>
      <c r="E273" s="150"/>
      <c r="F273" s="191" t="str">
        <f t="shared" si="25"/>
        <v/>
      </c>
      <c r="G273" s="185"/>
      <c r="H273" s="185"/>
      <c r="I273" s="185"/>
      <c r="K273" s="141" t="str">
        <f t="shared" si="26"/>
        <v/>
      </c>
      <c r="L273" s="141" t="str">
        <f t="shared" si="27"/>
        <v/>
      </c>
    </row>
    <row r="274" spans="1:12">
      <c r="A274" s="139" t="str">
        <f>IF(E274="","",VLOOKUP('Opći dio'!$C$3,'Opći dio'!$L$6:$U$136,10,FALSE))</f>
        <v/>
      </c>
      <c r="B274" s="139" t="str">
        <f>IF(E274="","",VLOOKUP('Opći dio'!$C$3,'Opći dio'!$L$6:$U$136,9,FALSE))</f>
        <v/>
      </c>
      <c r="C274" s="187" t="str">
        <f t="shared" si="23"/>
        <v/>
      </c>
      <c r="D274" s="138" t="str">
        <f t="shared" si="24"/>
        <v/>
      </c>
      <c r="E274" s="150"/>
      <c r="F274" s="191" t="str">
        <f t="shared" si="25"/>
        <v/>
      </c>
      <c r="G274" s="185"/>
      <c r="H274" s="185"/>
      <c r="I274" s="185"/>
      <c r="K274" s="141" t="str">
        <f t="shared" si="26"/>
        <v/>
      </c>
      <c r="L274" s="141" t="str">
        <f t="shared" si="27"/>
        <v/>
      </c>
    </row>
    <row r="275" spans="1:12">
      <c r="A275" s="139" t="str">
        <f>IF(E275="","",VLOOKUP('Opći dio'!$C$3,'Opći dio'!$L$6:$U$136,10,FALSE))</f>
        <v/>
      </c>
      <c r="B275" s="139" t="str">
        <f>IF(E275="","",VLOOKUP('Opći dio'!$C$3,'Opći dio'!$L$6:$U$136,9,FALSE))</f>
        <v/>
      </c>
      <c r="C275" s="187" t="str">
        <f t="shared" si="23"/>
        <v/>
      </c>
      <c r="D275" s="138" t="str">
        <f t="shared" si="24"/>
        <v/>
      </c>
      <c r="E275" s="150"/>
      <c r="F275" s="191" t="str">
        <f t="shared" si="25"/>
        <v/>
      </c>
      <c r="G275" s="185"/>
      <c r="H275" s="185"/>
      <c r="I275" s="185"/>
      <c r="K275" s="141" t="str">
        <f t="shared" si="26"/>
        <v/>
      </c>
      <c r="L275" s="141" t="str">
        <f t="shared" si="27"/>
        <v/>
      </c>
    </row>
    <row r="276" spans="1:12">
      <c r="A276" s="139" t="str">
        <f>IF(E276="","",VLOOKUP('Opći dio'!$C$3,'Opći dio'!$L$6:$U$136,10,FALSE))</f>
        <v/>
      </c>
      <c r="B276" s="139" t="str">
        <f>IF(E276="","",VLOOKUP('Opći dio'!$C$3,'Opći dio'!$L$6:$U$136,9,FALSE))</f>
        <v/>
      </c>
      <c r="C276" s="187" t="str">
        <f t="shared" si="23"/>
        <v/>
      </c>
      <c r="D276" s="138" t="str">
        <f t="shared" si="24"/>
        <v/>
      </c>
      <c r="E276" s="150"/>
      <c r="F276" s="191" t="str">
        <f t="shared" si="25"/>
        <v/>
      </c>
      <c r="G276" s="185"/>
      <c r="H276" s="185"/>
      <c r="I276" s="185"/>
      <c r="K276" s="141" t="str">
        <f t="shared" si="26"/>
        <v/>
      </c>
      <c r="L276" s="141" t="str">
        <f t="shared" si="27"/>
        <v/>
      </c>
    </row>
    <row r="277" spans="1:12">
      <c r="A277" s="139" t="str">
        <f>IF(E277="","",VLOOKUP('Opći dio'!$C$3,'Opći dio'!$L$6:$U$136,10,FALSE))</f>
        <v/>
      </c>
      <c r="B277" s="139" t="str">
        <f>IF(E277="","",VLOOKUP('Opći dio'!$C$3,'Opći dio'!$L$6:$U$136,9,FALSE))</f>
        <v/>
      </c>
      <c r="C277" s="187" t="str">
        <f t="shared" si="23"/>
        <v/>
      </c>
      <c r="D277" s="138" t="str">
        <f t="shared" si="24"/>
        <v/>
      </c>
      <c r="E277" s="150"/>
      <c r="F277" s="191" t="str">
        <f t="shared" si="25"/>
        <v/>
      </c>
      <c r="G277" s="185"/>
      <c r="H277" s="185"/>
      <c r="I277" s="185"/>
      <c r="K277" s="141" t="str">
        <f t="shared" si="26"/>
        <v/>
      </c>
      <c r="L277" s="141" t="str">
        <f t="shared" si="27"/>
        <v/>
      </c>
    </row>
    <row r="278" spans="1:12">
      <c r="A278" s="139" t="str">
        <f>IF(E278="","",VLOOKUP('Opći dio'!$C$3,'Opći dio'!$L$6:$U$136,10,FALSE))</f>
        <v/>
      </c>
      <c r="B278" s="139" t="str">
        <f>IF(E278="","",VLOOKUP('Opći dio'!$C$3,'Opći dio'!$L$6:$U$136,9,FALSE))</f>
        <v/>
      </c>
      <c r="C278" s="187" t="str">
        <f t="shared" si="23"/>
        <v/>
      </c>
      <c r="D278" s="138" t="str">
        <f t="shared" si="24"/>
        <v/>
      </c>
      <c r="E278" s="150"/>
      <c r="F278" s="191" t="str">
        <f t="shared" si="25"/>
        <v/>
      </c>
      <c r="G278" s="185"/>
      <c r="H278" s="185"/>
      <c r="I278" s="185"/>
      <c r="K278" s="141" t="str">
        <f t="shared" si="26"/>
        <v/>
      </c>
      <c r="L278" s="141" t="str">
        <f t="shared" si="27"/>
        <v/>
      </c>
    </row>
    <row r="279" spans="1:12">
      <c r="A279" s="139" t="str">
        <f>IF(E279="","",VLOOKUP('Opći dio'!$C$3,'Opći dio'!$L$6:$U$136,10,FALSE))</f>
        <v/>
      </c>
      <c r="B279" s="139" t="str">
        <f>IF(E279="","",VLOOKUP('Opći dio'!$C$3,'Opći dio'!$L$6:$U$136,9,FALSE))</f>
        <v/>
      </c>
      <c r="C279" s="187" t="str">
        <f t="shared" si="23"/>
        <v/>
      </c>
      <c r="D279" s="138" t="str">
        <f t="shared" si="24"/>
        <v/>
      </c>
      <c r="E279" s="150"/>
      <c r="F279" s="191" t="str">
        <f t="shared" si="25"/>
        <v/>
      </c>
      <c r="G279" s="185"/>
      <c r="H279" s="185"/>
      <c r="I279" s="185"/>
      <c r="K279" s="141" t="str">
        <f t="shared" si="26"/>
        <v/>
      </c>
      <c r="L279" s="141" t="str">
        <f t="shared" si="27"/>
        <v/>
      </c>
    </row>
    <row r="280" spans="1:12">
      <c r="A280" s="139" t="str">
        <f>IF(E280="","",VLOOKUP('Opći dio'!$C$3,'Opći dio'!$L$6:$U$136,10,FALSE))</f>
        <v/>
      </c>
      <c r="B280" s="139" t="str">
        <f>IF(E280="","",VLOOKUP('Opći dio'!$C$3,'Opći dio'!$L$6:$U$136,9,FALSE))</f>
        <v/>
      </c>
      <c r="C280" s="187" t="str">
        <f t="shared" si="23"/>
        <v/>
      </c>
      <c r="D280" s="138" t="str">
        <f t="shared" si="24"/>
        <v/>
      </c>
      <c r="E280" s="150"/>
      <c r="F280" s="191" t="str">
        <f t="shared" si="25"/>
        <v/>
      </c>
      <c r="G280" s="185"/>
      <c r="H280" s="185"/>
      <c r="I280" s="185"/>
      <c r="K280" s="141" t="str">
        <f t="shared" si="26"/>
        <v/>
      </c>
      <c r="L280" s="141" t="str">
        <f t="shared" si="27"/>
        <v/>
      </c>
    </row>
    <row r="281" spans="1:12">
      <c r="A281" s="139" t="str">
        <f>IF(E281="","",VLOOKUP('Opći dio'!$C$3,'Opći dio'!$L$6:$U$136,10,FALSE))</f>
        <v/>
      </c>
      <c r="B281" s="139" t="str">
        <f>IF(E281="","",VLOOKUP('Opći dio'!$C$3,'Opći dio'!$L$6:$U$136,9,FALSE))</f>
        <v/>
      </c>
      <c r="C281" s="187" t="str">
        <f t="shared" si="23"/>
        <v/>
      </c>
      <c r="D281" s="138" t="str">
        <f t="shared" si="24"/>
        <v/>
      </c>
      <c r="E281" s="150"/>
      <c r="F281" s="191" t="str">
        <f t="shared" si="25"/>
        <v/>
      </c>
      <c r="G281" s="185"/>
      <c r="H281" s="185"/>
      <c r="I281" s="185"/>
      <c r="K281" s="141" t="str">
        <f t="shared" si="26"/>
        <v/>
      </c>
      <c r="L281" s="141" t="str">
        <f t="shared" si="27"/>
        <v/>
      </c>
    </row>
    <row r="282" spans="1:12">
      <c r="A282" s="139" t="str">
        <f>IF(E282="","",VLOOKUP('Opći dio'!$C$3,'Opći dio'!$L$6:$U$136,10,FALSE))</f>
        <v/>
      </c>
      <c r="B282" s="139" t="str">
        <f>IF(E282="","",VLOOKUP('Opći dio'!$C$3,'Opći dio'!$L$6:$U$136,9,FALSE))</f>
        <v/>
      </c>
      <c r="C282" s="187" t="str">
        <f t="shared" si="23"/>
        <v/>
      </c>
      <c r="D282" s="138" t="str">
        <f t="shared" si="24"/>
        <v/>
      </c>
      <c r="E282" s="150"/>
      <c r="F282" s="191" t="str">
        <f t="shared" si="25"/>
        <v/>
      </c>
      <c r="G282" s="185"/>
      <c r="H282" s="185"/>
      <c r="I282" s="185"/>
      <c r="K282" s="141" t="str">
        <f t="shared" si="26"/>
        <v/>
      </c>
      <c r="L282" s="141" t="str">
        <f t="shared" si="27"/>
        <v/>
      </c>
    </row>
    <row r="283" spans="1:12">
      <c r="A283" s="139" t="str">
        <f>IF(E283="","",VLOOKUP('Opći dio'!$C$3,'Opći dio'!$L$6:$U$136,10,FALSE))</f>
        <v/>
      </c>
      <c r="B283" s="139" t="str">
        <f>IF(E283="","",VLOOKUP('Opći dio'!$C$3,'Opći dio'!$L$6:$U$136,9,FALSE))</f>
        <v/>
      </c>
      <c r="C283" s="187" t="str">
        <f t="shared" si="23"/>
        <v/>
      </c>
      <c r="D283" s="138" t="str">
        <f t="shared" si="24"/>
        <v/>
      </c>
      <c r="E283" s="150"/>
      <c r="F283" s="191" t="str">
        <f t="shared" si="25"/>
        <v/>
      </c>
      <c r="G283" s="185"/>
      <c r="H283" s="185"/>
      <c r="I283" s="185"/>
      <c r="K283" s="141" t="str">
        <f t="shared" si="26"/>
        <v/>
      </c>
      <c r="L283" s="141" t="str">
        <f t="shared" si="27"/>
        <v/>
      </c>
    </row>
    <row r="284" spans="1:12">
      <c r="A284" s="139" t="str">
        <f>IF(E284="","",VLOOKUP('Opći dio'!$C$3,'Opći dio'!$L$6:$U$136,10,FALSE))</f>
        <v/>
      </c>
      <c r="B284" s="139" t="str">
        <f>IF(E284="","",VLOOKUP('Opći dio'!$C$3,'Opći dio'!$L$6:$U$136,9,FALSE))</f>
        <v/>
      </c>
      <c r="C284" s="187" t="str">
        <f t="shared" si="23"/>
        <v/>
      </c>
      <c r="D284" s="138" t="str">
        <f t="shared" si="24"/>
        <v/>
      </c>
      <c r="E284" s="150"/>
      <c r="F284" s="191" t="str">
        <f t="shared" si="25"/>
        <v/>
      </c>
      <c r="G284" s="185"/>
      <c r="H284" s="185"/>
      <c r="I284" s="185"/>
      <c r="K284" s="141" t="str">
        <f t="shared" si="26"/>
        <v/>
      </c>
      <c r="L284" s="141" t="str">
        <f t="shared" si="27"/>
        <v/>
      </c>
    </row>
    <row r="285" spans="1:12">
      <c r="A285" s="139" t="str">
        <f>IF(E285="","",VLOOKUP('Opći dio'!$C$3,'Opći dio'!$L$6:$U$136,10,FALSE))</f>
        <v/>
      </c>
      <c r="B285" s="139" t="str">
        <f>IF(E285="","",VLOOKUP('Opći dio'!$C$3,'Opći dio'!$L$6:$U$136,9,FALSE))</f>
        <v/>
      </c>
      <c r="C285" s="187" t="str">
        <f t="shared" si="23"/>
        <v/>
      </c>
      <c r="D285" s="138" t="str">
        <f t="shared" si="24"/>
        <v/>
      </c>
      <c r="E285" s="150"/>
      <c r="F285" s="191" t="str">
        <f t="shared" si="25"/>
        <v/>
      </c>
      <c r="G285" s="185"/>
      <c r="H285" s="185"/>
      <c r="I285" s="185"/>
      <c r="K285" s="141" t="str">
        <f t="shared" si="26"/>
        <v/>
      </c>
      <c r="L285" s="141" t="str">
        <f t="shared" si="27"/>
        <v/>
      </c>
    </row>
    <row r="286" spans="1:12">
      <c r="A286" s="139" t="str">
        <f>IF(E286="","",VLOOKUP('Opći dio'!$C$3,'Opći dio'!$L$6:$U$136,10,FALSE))</f>
        <v/>
      </c>
      <c r="B286" s="139" t="str">
        <f>IF(E286="","",VLOOKUP('Opći dio'!$C$3,'Opći dio'!$L$6:$U$136,9,FALSE))</f>
        <v/>
      </c>
      <c r="C286" s="187" t="str">
        <f t="shared" si="23"/>
        <v/>
      </c>
      <c r="D286" s="138" t="str">
        <f t="shared" si="24"/>
        <v/>
      </c>
      <c r="E286" s="150"/>
      <c r="F286" s="191" t="str">
        <f t="shared" si="25"/>
        <v/>
      </c>
      <c r="G286" s="185"/>
      <c r="H286" s="185"/>
      <c r="I286" s="185"/>
      <c r="K286" s="141" t="str">
        <f t="shared" si="26"/>
        <v/>
      </c>
      <c r="L286" s="141" t="str">
        <f t="shared" si="27"/>
        <v/>
      </c>
    </row>
    <row r="287" spans="1:12">
      <c r="A287" s="139" t="str">
        <f>IF(E287="","",VLOOKUP('Opći dio'!$C$3,'Opći dio'!$L$6:$U$136,10,FALSE))</f>
        <v/>
      </c>
      <c r="B287" s="139" t="str">
        <f>IF(E287="","",VLOOKUP('Opći dio'!$C$3,'Opći dio'!$L$6:$U$136,9,FALSE))</f>
        <v/>
      </c>
      <c r="C287" s="187" t="str">
        <f t="shared" si="23"/>
        <v/>
      </c>
      <c r="D287" s="138" t="str">
        <f t="shared" si="24"/>
        <v/>
      </c>
      <c r="E287" s="150"/>
      <c r="F287" s="191" t="str">
        <f t="shared" si="25"/>
        <v/>
      </c>
      <c r="G287" s="185"/>
      <c r="H287" s="185"/>
      <c r="I287" s="185"/>
      <c r="K287" s="141" t="str">
        <f t="shared" si="26"/>
        <v/>
      </c>
      <c r="L287" s="141" t="str">
        <f t="shared" si="27"/>
        <v/>
      </c>
    </row>
    <row r="288" spans="1:12">
      <c r="A288" s="139" t="str">
        <f>IF(E288="","",VLOOKUP('Opći dio'!$C$3,'Opći dio'!$L$6:$U$136,10,FALSE))</f>
        <v/>
      </c>
      <c r="B288" s="139" t="str">
        <f>IF(E288="","",VLOOKUP('Opći dio'!$C$3,'Opći dio'!$L$6:$U$136,9,FALSE))</f>
        <v/>
      </c>
      <c r="C288" s="187" t="str">
        <f t="shared" si="23"/>
        <v/>
      </c>
      <c r="D288" s="138" t="str">
        <f t="shared" si="24"/>
        <v/>
      </c>
      <c r="E288" s="150"/>
      <c r="F288" s="191" t="str">
        <f t="shared" si="25"/>
        <v/>
      </c>
      <c r="G288" s="185"/>
      <c r="H288" s="185"/>
      <c r="I288" s="185"/>
      <c r="K288" s="141" t="str">
        <f t="shared" si="26"/>
        <v/>
      </c>
      <c r="L288" s="141" t="str">
        <f t="shared" si="27"/>
        <v/>
      </c>
    </row>
    <row r="289" spans="1:12">
      <c r="A289" s="139" t="str">
        <f>IF(E289="","",VLOOKUP('Opći dio'!$C$3,'Opći dio'!$L$6:$U$136,10,FALSE))</f>
        <v/>
      </c>
      <c r="B289" s="139" t="str">
        <f>IF(E289="","",VLOOKUP('Opći dio'!$C$3,'Opći dio'!$L$6:$U$136,9,FALSE))</f>
        <v/>
      </c>
      <c r="C289" s="187" t="str">
        <f t="shared" si="23"/>
        <v/>
      </c>
      <c r="D289" s="138" t="str">
        <f t="shared" si="24"/>
        <v/>
      </c>
      <c r="E289" s="150"/>
      <c r="F289" s="191" t="str">
        <f t="shared" si="25"/>
        <v/>
      </c>
      <c r="G289" s="185"/>
      <c r="H289" s="185"/>
      <c r="I289" s="185"/>
      <c r="K289" s="141" t="str">
        <f t="shared" si="26"/>
        <v/>
      </c>
      <c r="L289" s="141" t="str">
        <f t="shared" si="27"/>
        <v/>
      </c>
    </row>
    <row r="290" spans="1:12">
      <c r="A290" s="139" t="str">
        <f>IF(E290="","",VLOOKUP('Opći dio'!$C$3,'Opći dio'!$L$6:$U$136,10,FALSE))</f>
        <v/>
      </c>
      <c r="B290" s="139" t="str">
        <f>IF(E290="","",VLOOKUP('Opći dio'!$C$3,'Opći dio'!$L$6:$U$136,9,FALSE))</f>
        <v/>
      </c>
      <c r="C290" s="187" t="str">
        <f t="shared" si="23"/>
        <v/>
      </c>
      <c r="D290" s="138" t="str">
        <f t="shared" si="24"/>
        <v/>
      </c>
      <c r="E290" s="150"/>
      <c r="F290" s="191" t="str">
        <f t="shared" si="25"/>
        <v/>
      </c>
      <c r="G290" s="185"/>
      <c r="H290" s="185"/>
      <c r="I290" s="185"/>
      <c r="K290" s="141" t="str">
        <f t="shared" si="26"/>
        <v/>
      </c>
      <c r="L290" s="141" t="str">
        <f t="shared" si="27"/>
        <v/>
      </c>
    </row>
    <row r="291" spans="1:12">
      <c r="A291" s="139" t="str">
        <f>IF(E291="","",VLOOKUP('Opći dio'!$C$3,'Opći dio'!$L$6:$U$136,10,FALSE))</f>
        <v/>
      </c>
      <c r="B291" s="139" t="str">
        <f>IF(E291="","",VLOOKUP('Opći dio'!$C$3,'Opći dio'!$L$6:$U$136,9,FALSE))</f>
        <v/>
      </c>
      <c r="C291" s="187" t="str">
        <f t="shared" si="23"/>
        <v/>
      </c>
      <c r="D291" s="138" t="str">
        <f t="shared" si="24"/>
        <v/>
      </c>
      <c r="E291" s="150"/>
      <c r="F291" s="191" t="str">
        <f t="shared" si="25"/>
        <v/>
      </c>
      <c r="G291" s="185"/>
      <c r="H291" s="185"/>
      <c r="I291" s="185"/>
      <c r="K291" s="141" t="str">
        <f t="shared" si="26"/>
        <v/>
      </c>
      <c r="L291" s="141" t="str">
        <f t="shared" si="27"/>
        <v/>
      </c>
    </row>
    <row r="292" spans="1:12">
      <c r="A292" s="139" t="str">
        <f>IF(E292="","",VLOOKUP('Opći dio'!$C$3,'Opći dio'!$L$6:$U$136,10,FALSE))</f>
        <v/>
      </c>
      <c r="B292" s="139" t="str">
        <f>IF(E292="","",VLOOKUP('Opći dio'!$C$3,'Opći dio'!$L$6:$U$136,9,FALSE))</f>
        <v/>
      </c>
      <c r="C292" s="187" t="str">
        <f t="shared" si="23"/>
        <v/>
      </c>
      <c r="D292" s="138" t="str">
        <f t="shared" si="24"/>
        <v/>
      </c>
      <c r="E292" s="150"/>
      <c r="F292" s="191" t="str">
        <f t="shared" si="25"/>
        <v/>
      </c>
      <c r="G292" s="185"/>
      <c r="H292" s="185"/>
      <c r="I292" s="185"/>
      <c r="K292" s="141" t="str">
        <f t="shared" si="26"/>
        <v/>
      </c>
      <c r="L292" s="141" t="str">
        <f t="shared" si="27"/>
        <v/>
      </c>
    </row>
    <row r="293" spans="1:12">
      <c r="A293" s="139" t="str">
        <f>IF(E293="","",VLOOKUP('Opći dio'!$C$3,'Opći dio'!$L$6:$U$136,10,FALSE))</f>
        <v/>
      </c>
      <c r="B293" s="139" t="str">
        <f>IF(E293="","",VLOOKUP('Opći dio'!$C$3,'Opći dio'!$L$6:$U$136,9,FALSE))</f>
        <v/>
      </c>
      <c r="C293" s="187" t="str">
        <f t="shared" si="23"/>
        <v/>
      </c>
      <c r="D293" s="138" t="str">
        <f t="shared" si="24"/>
        <v/>
      </c>
      <c r="E293" s="150"/>
      <c r="F293" s="191" t="str">
        <f t="shared" si="25"/>
        <v/>
      </c>
      <c r="G293" s="185"/>
      <c r="H293" s="185"/>
      <c r="I293" s="185"/>
      <c r="K293" s="141" t="str">
        <f t="shared" si="26"/>
        <v/>
      </c>
      <c r="L293" s="141" t="str">
        <f t="shared" si="27"/>
        <v/>
      </c>
    </row>
    <row r="294" spans="1:12">
      <c r="A294" s="139" t="str">
        <f>IF(E294="","",VLOOKUP('Opći dio'!$C$3,'Opći dio'!$L$6:$U$136,10,FALSE))</f>
        <v/>
      </c>
      <c r="B294" s="139" t="str">
        <f>IF(E294="","",VLOOKUP('Opći dio'!$C$3,'Opći dio'!$L$6:$U$136,9,FALSE))</f>
        <v/>
      </c>
      <c r="C294" s="187" t="str">
        <f t="shared" si="23"/>
        <v/>
      </c>
      <c r="D294" s="138" t="str">
        <f t="shared" si="24"/>
        <v/>
      </c>
      <c r="E294" s="150"/>
      <c r="F294" s="191" t="str">
        <f t="shared" si="25"/>
        <v/>
      </c>
      <c r="G294" s="185"/>
      <c r="H294" s="185"/>
      <c r="I294" s="185"/>
      <c r="K294" s="141" t="str">
        <f t="shared" si="26"/>
        <v/>
      </c>
      <c r="L294" s="141" t="str">
        <f t="shared" si="27"/>
        <v/>
      </c>
    </row>
    <row r="295" spans="1:12">
      <c r="A295" s="139" t="str">
        <f>IF(E295="","",VLOOKUP('Opći dio'!$C$3,'Opći dio'!$L$6:$U$136,10,FALSE))</f>
        <v/>
      </c>
      <c r="B295" s="139" t="str">
        <f>IF(E295="","",VLOOKUP('Opći dio'!$C$3,'Opći dio'!$L$6:$U$136,9,FALSE))</f>
        <v/>
      </c>
      <c r="C295" s="187" t="str">
        <f t="shared" si="23"/>
        <v/>
      </c>
      <c r="D295" s="138" t="str">
        <f t="shared" si="24"/>
        <v/>
      </c>
      <c r="E295" s="150"/>
      <c r="F295" s="191" t="str">
        <f t="shared" si="25"/>
        <v/>
      </c>
      <c r="G295" s="185"/>
      <c r="H295" s="185"/>
      <c r="I295" s="185"/>
      <c r="K295" s="141" t="str">
        <f t="shared" si="26"/>
        <v/>
      </c>
      <c r="L295" s="141" t="str">
        <f t="shared" si="27"/>
        <v/>
      </c>
    </row>
    <row r="296" spans="1:12">
      <c r="A296" s="139" t="str">
        <f>IF(E296="","",VLOOKUP('Opći dio'!$C$3,'Opći dio'!$L$6:$U$136,10,FALSE))</f>
        <v/>
      </c>
      <c r="B296" s="139" t="str">
        <f>IF(E296="","",VLOOKUP('Opći dio'!$C$3,'Opći dio'!$L$6:$U$136,9,FALSE))</f>
        <v/>
      </c>
      <c r="C296" s="187" t="str">
        <f t="shared" si="23"/>
        <v/>
      </c>
      <c r="D296" s="138" t="str">
        <f t="shared" si="24"/>
        <v/>
      </c>
      <c r="E296" s="150"/>
      <c r="F296" s="191" t="str">
        <f t="shared" si="25"/>
        <v/>
      </c>
      <c r="G296" s="185"/>
      <c r="H296" s="185"/>
      <c r="I296" s="185"/>
      <c r="K296" s="141" t="str">
        <f t="shared" si="26"/>
        <v/>
      </c>
      <c r="L296" s="141" t="str">
        <f t="shared" si="27"/>
        <v/>
      </c>
    </row>
    <row r="297" spans="1:12">
      <c r="A297" s="139" t="str">
        <f>IF(E297="","",VLOOKUP('Opći dio'!$C$3,'Opći dio'!$L$6:$U$136,10,FALSE))</f>
        <v/>
      </c>
      <c r="B297" s="139" t="str">
        <f>IF(E297="","",VLOOKUP('Opći dio'!$C$3,'Opći dio'!$L$6:$U$136,9,FALSE))</f>
        <v/>
      </c>
      <c r="C297" s="187" t="str">
        <f t="shared" si="23"/>
        <v/>
      </c>
      <c r="D297" s="138" t="str">
        <f t="shared" si="24"/>
        <v/>
      </c>
      <c r="E297" s="150"/>
      <c r="F297" s="191" t="str">
        <f t="shared" si="25"/>
        <v/>
      </c>
      <c r="G297" s="185"/>
      <c r="H297" s="185"/>
      <c r="I297" s="185"/>
      <c r="K297" s="141" t="str">
        <f t="shared" si="26"/>
        <v/>
      </c>
      <c r="L297" s="141" t="str">
        <f t="shared" si="27"/>
        <v/>
      </c>
    </row>
    <row r="298" spans="1:12">
      <c r="A298" s="139" t="str">
        <f>IF(E298="","",VLOOKUP('Opći dio'!$C$3,'Opći dio'!$L$6:$U$136,10,FALSE))</f>
        <v/>
      </c>
      <c r="B298" s="139" t="str">
        <f>IF(E298="","",VLOOKUP('Opći dio'!$C$3,'Opći dio'!$L$6:$U$136,9,FALSE))</f>
        <v/>
      </c>
      <c r="C298" s="187" t="str">
        <f t="shared" si="23"/>
        <v/>
      </c>
      <c r="D298" s="138" t="str">
        <f t="shared" si="24"/>
        <v/>
      </c>
      <c r="E298" s="150"/>
      <c r="F298" s="191" t="str">
        <f t="shared" si="25"/>
        <v/>
      </c>
      <c r="G298" s="185"/>
      <c r="H298" s="185"/>
      <c r="I298" s="185"/>
      <c r="K298" s="141" t="str">
        <f t="shared" si="26"/>
        <v/>
      </c>
      <c r="L298" s="141" t="str">
        <f t="shared" si="27"/>
        <v/>
      </c>
    </row>
    <row r="299" spans="1:12">
      <c r="A299" s="139" t="str">
        <f>IF(E299="","",VLOOKUP('Opći dio'!$C$3,'Opći dio'!$L$6:$U$136,10,FALSE))</f>
        <v/>
      </c>
      <c r="B299" s="139" t="str">
        <f>IF(E299="","",VLOOKUP('Opći dio'!$C$3,'Opći dio'!$L$6:$U$136,9,FALSE))</f>
        <v/>
      </c>
      <c r="C299" s="187" t="str">
        <f t="shared" si="23"/>
        <v/>
      </c>
      <c r="D299" s="138" t="str">
        <f t="shared" si="24"/>
        <v/>
      </c>
      <c r="E299" s="150"/>
      <c r="F299" s="191" t="str">
        <f t="shared" si="25"/>
        <v/>
      </c>
      <c r="G299" s="185"/>
      <c r="H299" s="185"/>
      <c r="I299" s="185"/>
      <c r="K299" s="141" t="str">
        <f t="shared" si="26"/>
        <v/>
      </c>
      <c r="L299" s="141" t="str">
        <f t="shared" si="27"/>
        <v/>
      </c>
    </row>
    <row r="300" spans="1:12">
      <c r="A300" s="139" t="str">
        <f>IF(E300="","",VLOOKUP('Opći dio'!$C$3,'Opći dio'!$L$6:$U$136,10,FALSE))</f>
        <v/>
      </c>
      <c r="B300" s="139" t="str">
        <f>IF(E300="","",VLOOKUP('Opći dio'!$C$3,'Opći dio'!$L$6:$U$136,9,FALSE))</f>
        <v/>
      </c>
      <c r="C300" s="187" t="str">
        <f t="shared" si="23"/>
        <v/>
      </c>
      <c r="D300" s="138" t="str">
        <f t="shared" si="24"/>
        <v/>
      </c>
      <c r="E300" s="150"/>
      <c r="F300" s="191" t="str">
        <f t="shared" si="25"/>
        <v/>
      </c>
      <c r="G300" s="185"/>
      <c r="H300" s="185"/>
      <c r="I300" s="185"/>
      <c r="K300" s="141" t="str">
        <f t="shared" si="26"/>
        <v/>
      </c>
      <c r="L300" s="141" t="str">
        <f t="shared" si="27"/>
        <v/>
      </c>
    </row>
    <row r="301" spans="1:12">
      <c r="A301" s="139" t="str">
        <f>IF(E301="","",VLOOKUP('Opći dio'!$C$3,'Opći dio'!$L$6:$U$136,10,FALSE))</f>
        <v/>
      </c>
      <c r="B301" s="139" t="str">
        <f>IF(E301="","",VLOOKUP('Opći dio'!$C$3,'Opći dio'!$L$6:$U$136,9,FALSE))</f>
        <v/>
      </c>
      <c r="C301" s="187" t="str">
        <f t="shared" si="23"/>
        <v/>
      </c>
      <c r="D301" s="138" t="str">
        <f t="shared" si="24"/>
        <v/>
      </c>
      <c r="E301" s="150"/>
      <c r="F301" s="191" t="str">
        <f t="shared" si="25"/>
        <v/>
      </c>
      <c r="G301" s="185"/>
      <c r="H301" s="185"/>
      <c r="I301" s="185"/>
      <c r="K301" s="141" t="str">
        <f t="shared" si="26"/>
        <v/>
      </c>
      <c r="L301" s="141" t="str">
        <f t="shared" si="27"/>
        <v/>
      </c>
    </row>
    <row r="302" spans="1:12">
      <c r="A302" s="139" t="str">
        <f>IF(E302="","",VLOOKUP('Opći dio'!$C$3,'Opći dio'!$L$6:$U$136,10,FALSE))</f>
        <v/>
      </c>
      <c r="B302" s="139" t="str">
        <f>IF(E302="","",VLOOKUP('Opći dio'!$C$3,'Opći dio'!$L$6:$U$136,9,FALSE))</f>
        <v/>
      </c>
      <c r="C302" s="187" t="str">
        <f t="shared" si="23"/>
        <v/>
      </c>
      <c r="D302" s="138" t="str">
        <f t="shared" si="24"/>
        <v/>
      </c>
      <c r="E302" s="150"/>
      <c r="F302" s="191" t="str">
        <f t="shared" si="25"/>
        <v/>
      </c>
      <c r="G302" s="185"/>
      <c r="H302" s="185"/>
      <c r="I302" s="185"/>
      <c r="K302" s="141" t="str">
        <f t="shared" si="26"/>
        <v/>
      </c>
      <c r="L302" s="141" t="str">
        <f t="shared" si="27"/>
        <v/>
      </c>
    </row>
    <row r="303" spans="1:12">
      <c r="A303" s="139" t="str">
        <f>IF(E303="","",VLOOKUP('Opći dio'!$C$3,'Opći dio'!$L$6:$U$136,10,FALSE))</f>
        <v/>
      </c>
      <c r="B303" s="139" t="str">
        <f>IF(E303="","",VLOOKUP('Opći dio'!$C$3,'Opći dio'!$L$6:$U$136,9,FALSE))</f>
        <v/>
      </c>
      <c r="C303" s="187" t="str">
        <f t="shared" si="23"/>
        <v/>
      </c>
      <c r="D303" s="138" t="str">
        <f t="shared" si="24"/>
        <v/>
      </c>
      <c r="E303" s="150"/>
      <c r="F303" s="191" t="str">
        <f t="shared" si="25"/>
        <v/>
      </c>
      <c r="G303" s="185"/>
      <c r="H303" s="185"/>
      <c r="I303" s="185"/>
      <c r="K303" s="141" t="str">
        <f t="shared" si="26"/>
        <v/>
      </c>
      <c r="L303" s="141" t="str">
        <f t="shared" si="27"/>
        <v/>
      </c>
    </row>
    <row r="304" spans="1:12">
      <c r="A304" s="139" t="str">
        <f>IF(E304="","",VLOOKUP('Opći dio'!$C$3,'Opći dio'!$L$6:$U$136,10,FALSE))</f>
        <v/>
      </c>
      <c r="B304" s="139" t="str">
        <f>IF(E304="","",VLOOKUP('Opći dio'!$C$3,'Opći dio'!$L$6:$U$136,9,FALSE))</f>
        <v/>
      </c>
      <c r="C304" s="187" t="str">
        <f t="shared" si="23"/>
        <v/>
      </c>
      <c r="D304" s="138" t="str">
        <f t="shared" si="24"/>
        <v/>
      </c>
      <c r="E304" s="150"/>
      <c r="F304" s="191" t="str">
        <f t="shared" si="25"/>
        <v/>
      </c>
      <c r="G304" s="185"/>
      <c r="H304" s="185"/>
      <c r="I304" s="185"/>
      <c r="K304" s="141" t="str">
        <f t="shared" si="26"/>
        <v/>
      </c>
      <c r="L304" s="141" t="str">
        <f t="shared" si="27"/>
        <v/>
      </c>
    </row>
    <row r="305" spans="1:12">
      <c r="A305" s="139" t="str">
        <f>IF(E305="","",VLOOKUP('Opći dio'!$C$3,'Opći dio'!$L$6:$U$136,10,FALSE))</f>
        <v/>
      </c>
      <c r="B305" s="139" t="str">
        <f>IF(E305="","",VLOOKUP('Opći dio'!$C$3,'Opći dio'!$L$6:$U$136,9,FALSE))</f>
        <v/>
      </c>
      <c r="C305" s="187" t="str">
        <f t="shared" si="23"/>
        <v/>
      </c>
      <c r="D305" s="138" t="str">
        <f t="shared" si="24"/>
        <v/>
      </c>
      <c r="E305" s="150"/>
      <c r="F305" s="191" t="str">
        <f t="shared" si="25"/>
        <v/>
      </c>
      <c r="G305" s="185"/>
      <c r="H305" s="185"/>
      <c r="I305" s="185"/>
      <c r="K305" s="141" t="str">
        <f t="shared" si="26"/>
        <v/>
      </c>
      <c r="L305" s="141" t="str">
        <f t="shared" si="27"/>
        <v/>
      </c>
    </row>
    <row r="306" spans="1:12">
      <c r="A306" s="139" t="str">
        <f>IF(E306="","",VLOOKUP('Opći dio'!$C$3,'Opći dio'!$L$6:$U$136,10,FALSE))</f>
        <v/>
      </c>
      <c r="B306" s="139" t="str">
        <f>IF(E306="","",VLOOKUP('Opći dio'!$C$3,'Opći dio'!$L$6:$U$136,9,FALSE))</f>
        <v/>
      </c>
      <c r="C306" s="187" t="str">
        <f t="shared" si="23"/>
        <v/>
      </c>
      <c r="D306" s="138" t="str">
        <f t="shared" si="24"/>
        <v/>
      </c>
      <c r="E306" s="150"/>
      <c r="F306" s="191" t="str">
        <f t="shared" si="25"/>
        <v/>
      </c>
      <c r="G306" s="185"/>
      <c r="H306" s="185"/>
      <c r="I306" s="185"/>
      <c r="K306" s="141" t="str">
        <f t="shared" si="26"/>
        <v/>
      </c>
      <c r="L306" s="141" t="str">
        <f t="shared" si="27"/>
        <v/>
      </c>
    </row>
    <row r="307" spans="1:12">
      <c r="A307" s="139" t="str">
        <f>IF(E307="","",VLOOKUP('Opći dio'!$C$3,'Opći dio'!$L$6:$U$136,10,FALSE))</f>
        <v/>
      </c>
      <c r="B307" s="139" t="str">
        <f>IF(E307="","",VLOOKUP('Opći dio'!$C$3,'Opći dio'!$L$6:$U$136,9,FALSE))</f>
        <v/>
      </c>
      <c r="C307" s="187" t="str">
        <f t="shared" si="23"/>
        <v/>
      </c>
      <c r="D307" s="138" t="str">
        <f t="shared" si="24"/>
        <v/>
      </c>
      <c r="E307" s="150"/>
      <c r="F307" s="191" t="str">
        <f t="shared" si="25"/>
        <v/>
      </c>
      <c r="G307" s="185"/>
      <c r="H307" s="185"/>
      <c r="I307" s="185"/>
      <c r="K307" s="141" t="str">
        <f t="shared" si="26"/>
        <v/>
      </c>
      <c r="L307" s="141" t="str">
        <f t="shared" si="27"/>
        <v/>
      </c>
    </row>
    <row r="308" spans="1:12">
      <c r="A308" s="139" t="str">
        <f>IF(E308="","",VLOOKUP('Opći dio'!$C$3,'Opći dio'!$L$6:$U$136,10,FALSE))</f>
        <v/>
      </c>
      <c r="B308" s="139" t="str">
        <f>IF(E308="","",VLOOKUP('Opći dio'!$C$3,'Opći dio'!$L$6:$U$136,9,FALSE))</f>
        <v/>
      </c>
      <c r="C308" s="187" t="str">
        <f t="shared" si="23"/>
        <v/>
      </c>
      <c r="D308" s="138" t="str">
        <f t="shared" si="24"/>
        <v/>
      </c>
      <c r="E308" s="150"/>
      <c r="F308" s="191" t="str">
        <f t="shared" si="25"/>
        <v/>
      </c>
      <c r="G308" s="185"/>
      <c r="H308" s="185"/>
      <c r="I308" s="185"/>
      <c r="K308" s="141" t="str">
        <f t="shared" si="26"/>
        <v/>
      </c>
      <c r="L308" s="141" t="str">
        <f t="shared" si="27"/>
        <v/>
      </c>
    </row>
    <row r="309" spans="1:12">
      <c r="A309" s="139" t="str">
        <f>IF(E309="","",VLOOKUP('Opći dio'!$C$3,'Opći dio'!$L$6:$U$136,10,FALSE))</f>
        <v/>
      </c>
      <c r="B309" s="139" t="str">
        <f>IF(E309="","",VLOOKUP('Opći dio'!$C$3,'Opći dio'!$L$6:$U$136,9,FALSE))</f>
        <v/>
      </c>
      <c r="C309" s="187" t="str">
        <f t="shared" si="23"/>
        <v/>
      </c>
      <c r="D309" s="138" t="str">
        <f t="shared" si="24"/>
        <v/>
      </c>
      <c r="E309" s="150"/>
      <c r="F309" s="191" t="str">
        <f t="shared" si="25"/>
        <v/>
      </c>
      <c r="G309" s="185"/>
      <c r="H309" s="185"/>
      <c r="I309" s="185"/>
      <c r="K309" s="141" t="str">
        <f t="shared" si="26"/>
        <v/>
      </c>
      <c r="L309" s="141" t="str">
        <f t="shared" si="27"/>
        <v/>
      </c>
    </row>
    <row r="310" spans="1:12">
      <c r="A310" s="139" t="str">
        <f>IF(E310="","",VLOOKUP('Opći dio'!$C$3,'Opći dio'!$L$6:$U$136,10,FALSE))</f>
        <v/>
      </c>
      <c r="B310" s="139" t="str">
        <f>IF(E310="","",VLOOKUP('Opći dio'!$C$3,'Opći dio'!$L$6:$U$136,9,FALSE))</f>
        <v/>
      </c>
      <c r="C310" s="187" t="str">
        <f t="shared" si="23"/>
        <v/>
      </c>
      <c r="D310" s="138" t="str">
        <f t="shared" si="24"/>
        <v/>
      </c>
      <c r="E310" s="150"/>
      <c r="F310" s="191" t="str">
        <f t="shared" si="25"/>
        <v/>
      </c>
      <c r="G310" s="185"/>
      <c r="H310" s="185"/>
      <c r="I310" s="185"/>
      <c r="K310" s="141" t="str">
        <f t="shared" si="26"/>
        <v/>
      </c>
      <c r="L310" s="141" t="str">
        <f t="shared" si="27"/>
        <v/>
      </c>
    </row>
    <row r="311" spans="1:12">
      <c r="A311" s="139" t="str">
        <f>IF(E311="","",VLOOKUP('Opći dio'!$C$3,'Opći dio'!$L$6:$U$136,10,FALSE))</f>
        <v/>
      </c>
      <c r="B311" s="139" t="str">
        <f>IF(E311="","",VLOOKUP('Opći dio'!$C$3,'Opći dio'!$L$6:$U$136,9,FALSE))</f>
        <v/>
      </c>
      <c r="C311" s="187" t="str">
        <f t="shared" si="23"/>
        <v/>
      </c>
      <c r="D311" s="138" t="str">
        <f t="shared" si="24"/>
        <v/>
      </c>
      <c r="E311" s="150"/>
      <c r="F311" s="191" t="str">
        <f t="shared" si="25"/>
        <v/>
      </c>
      <c r="G311" s="185"/>
      <c r="H311" s="185"/>
      <c r="I311" s="185"/>
      <c r="K311" s="141" t="str">
        <f t="shared" si="26"/>
        <v/>
      </c>
      <c r="L311" s="141" t="str">
        <f t="shared" si="27"/>
        <v/>
      </c>
    </row>
    <row r="312" spans="1:12">
      <c r="A312" s="139" t="str">
        <f>IF(E312="","",VLOOKUP('Opći dio'!$C$3,'Opći dio'!$L$6:$U$136,10,FALSE))</f>
        <v/>
      </c>
      <c r="B312" s="139" t="str">
        <f>IF(E312="","",VLOOKUP('Opći dio'!$C$3,'Opći dio'!$L$6:$U$136,9,FALSE))</f>
        <v/>
      </c>
      <c r="C312" s="187" t="str">
        <f t="shared" si="23"/>
        <v/>
      </c>
      <c r="D312" s="138" t="str">
        <f t="shared" si="24"/>
        <v/>
      </c>
      <c r="E312" s="150"/>
      <c r="F312" s="191" t="str">
        <f t="shared" si="25"/>
        <v/>
      </c>
      <c r="G312" s="185"/>
      <c r="H312" s="185"/>
      <c r="I312" s="185"/>
      <c r="K312" s="141" t="str">
        <f t="shared" si="26"/>
        <v/>
      </c>
      <c r="L312" s="141" t="str">
        <f t="shared" si="27"/>
        <v/>
      </c>
    </row>
    <row r="313" spans="1:12">
      <c r="A313" s="139" t="str">
        <f>IF(E313="","",VLOOKUP('Opći dio'!$C$3,'Opći dio'!$L$6:$U$136,10,FALSE))</f>
        <v/>
      </c>
      <c r="B313" s="139" t="str">
        <f>IF(E313="","",VLOOKUP('Opći dio'!$C$3,'Opći dio'!$L$6:$U$136,9,FALSE))</f>
        <v/>
      </c>
      <c r="C313" s="187" t="str">
        <f t="shared" si="23"/>
        <v/>
      </c>
      <c r="D313" s="138" t="str">
        <f t="shared" si="24"/>
        <v/>
      </c>
      <c r="E313" s="150"/>
      <c r="F313" s="191" t="str">
        <f t="shared" si="25"/>
        <v/>
      </c>
      <c r="G313" s="185"/>
      <c r="H313" s="185"/>
      <c r="I313" s="185"/>
      <c r="K313" s="141" t="str">
        <f t="shared" si="26"/>
        <v/>
      </c>
      <c r="L313" s="141" t="str">
        <f t="shared" si="27"/>
        <v/>
      </c>
    </row>
    <row r="314" spans="1:12">
      <c r="A314" s="139" t="str">
        <f>IF(E314="","",VLOOKUP('Opći dio'!$C$3,'Opći dio'!$L$6:$U$136,10,FALSE))</f>
        <v/>
      </c>
      <c r="B314" s="139" t="str">
        <f>IF(E314="","",VLOOKUP('Opći dio'!$C$3,'Opći dio'!$L$6:$U$136,9,FALSE))</f>
        <v/>
      </c>
      <c r="C314" s="187" t="str">
        <f t="shared" si="23"/>
        <v/>
      </c>
      <c r="D314" s="138" t="str">
        <f t="shared" si="24"/>
        <v/>
      </c>
      <c r="E314" s="150"/>
      <c r="F314" s="191" t="str">
        <f t="shared" si="25"/>
        <v/>
      </c>
      <c r="G314" s="185"/>
      <c r="H314" s="185"/>
      <c r="I314" s="185"/>
      <c r="K314" s="141" t="str">
        <f t="shared" si="26"/>
        <v/>
      </c>
      <c r="L314" s="141" t="str">
        <f t="shared" si="27"/>
        <v/>
      </c>
    </row>
    <row r="315" spans="1:12">
      <c r="A315" s="139" t="str">
        <f>IF(E315="","",VLOOKUP('Opći dio'!$C$3,'Opći dio'!$L$6:$U$136,10,FALSE))</f>
        <v/>
      </c>
      <c r="B315" s="139" t="str">
        <f>IF(E315="","",VLOOKUP('Opći dio'!$C$3,'Opći dio'!$L$6:$U$136,9,FALSE))</f>
        <v/>
      </c>
      <c r="C315" s="187" t="str">
        <f t="shared" si="23"/>
        <v/>
      </c>
      <c r="D315" s="138" t="str">
        <f t="shared" si="24"/>
        <v/>
      </c>
      <c r="E315" s="150"/>
      <c r="F315" s="191" t="str">
        <f t="shared" si="25"/>
        <v/>
      </c>
      <c r="G315" s="185"/>
      <c r="H315" s="185"/>
      <c r="I315" s="185"/>
      <c r="K315" s="141" t="str">
        <f t="shared" si="26"/>
        <v/>
      </c>
      <c r="L315" s="141" t="str">
        <f t="shared" si="27"/>
        <v/>
      </c>
    </row>
    <row r="316" spans="1:12">
      <c r="A316" s="139" t="str">
        <f>IF(E316="","",VLOOKUP('Opći dio'!$C$3,'Opći dio'!$L$6:$U$136,10,FALSE))</f>
        <v/>
      </c>
      <c r="B316" s="139" t="str">
        <f>IF(E316="","",VLOOKUP('Opći dio'!$C$3,'Opći dio'!$L$6:$U$136,9,FALSE))</f>
        <v/>
      </c>
      <c r="C316" s="187" t="str">
        <f t="shared" si="23"/>
        <v/>
      </c>
      <c r="D316" s="138" t="str">
        <f t="shared" si="24"/>
        <v/>
      </c>
      <c r="E316" s="150"/>
      <c r="F316" s="191" t="str">
        <f t="shared" si="25"/>
        <v/>
      </c>
      <c r="G316" s="185"/>
      <c r="H316" s="185"/>
      <c r="I316" s="185"/>
      <c r="K316" s="141" t="str">
        <f t="shared" si="26"/>
        <v/>
      </c>
      <c r="L316" s="141" t="str">
        <f t="shared" si="27"/>
        <v/>
      </c>
    </row>
    <row r="317" spans="1:12">
      <c r="A317" s="139" t="str">
        <f>IF(E317="","",VLOOKUP('Opći dio'!$C$3,'Opći dio'!$L$6:$U$136,10,FALSE))</f>
        <v/>
      </c>
      <c r="B317" s="139" t="str">
        <f>IF(E317="","",VLOOKUP('Opći dio'!$C$3,'Opći dio'!$L$6:$U$136,9,FALSE))</f>
        <v/>
      </c>
      <c r="C317" s="187" t="str">
        <f t="shared" si="23"/>
        <v/>
      </c>
      <c r="D317" s="138" t="str">
        <f t="shared" si="24"/>
        <v/>
      </c>
      <c r="E317" s="150"/>
      <c r="F317" s="191" t="str">
        <f t="shared" si="25"/>
        <v/>
      </c>
      <c r="G317" s="185"/>
      <c r="H317" s="185"/>
      <c r="I317" s="185"/>
      <c r="K317" s="141" t="str">
        <f t="shared" si="26"/>
        <v/>
      </c>
      <c r="L317" s="141" t="str">
        <f t="shared" si="27"/>
        <v/>
      </c>
    </row>
    <row r="318" spans="1:12">
      <c r="A318" s="139" t="str">
        <f>IF(E318="","",VLOOKUP('Opći dio'!$C$3,'Opći dio'!$L$6:$U$136,10,FALSE))</f>
        <v/>
      </c>
      <c r="B318" s="139" t="str">
        <f>IF(E318="","",VLOOKUP('Opći dio'!$C$3,'Opći dio'!$L$6:$U$136,9,FALSE))</f>
        <v/>
      </c>
      <c r="C318" s="187" t="str">
        <f t="shared" si="23"/>
        <v/>
      </c>
      <c r="D318" s="138" t="str">
        <f t="shared" si="24"/>
        <v/>
      </c>
      <c r="E318" s="150"/>
      <c r="F318" s="191" t="str">
        <f t="shared" si="25"/>
        <v/>
      </c>
      <c r="G318" s="185"/>
      <c r="H318" s="185"/>
      <c r="I318" s="185"/>
      <c r="K318" s="141" t="str">
        <f t="shared" si="26"/>
        <v/>
      </c>
      <c r="L318" s="141" t="str">
        <f t="shared" si="27"/>
        <v/>
      </c>
    </row>
    <row r="319" spans="1:12">
      <c r="A319" s="139" t="str">
        <f>IF(E319="","",VLOOKUP('Opći dio'!$C$3,'Opći dio'!$L$6:$U$136,10,FALSE))</f>
        <v/>
      </c>
      <c r="B319" s="139" t="str">
        <f>IF(E319="","",VLOOKUP('Opći dio'!$C$3,'Opći dio'!$L$6:$U$136,9,FALSE))</f>
        <v/>
      </c>
      <c r="C319" s="187" t="str">
        <f t="shared" si="23"/>
        <v/>
      </c>
      <c r="D319" s="138" t="str">
        <f t="shared" si="24"/>
        <v/>
      </c>
      <c r="E319" s="150"/>
      <c r="F319" s="191" t="str">
        <f t="shared" si="25"/>
        <v/>
      </c>
      <c r="G319" s="185"/>
      <c r="H319" s="185"/>
      <c r="I319" s="185"/>
      <c r="K319" s="141" t="str">
        <f t="shared" si="26"/>
        <v/>
      </c>
      <c r="L319" s="141" t="str">
        <f t="shared" si="27"/>
        <v/>
      </c>
    </row>
    <row r="320" spans="1:12">
      <c r="A320" s="139" t="str">
        <f>IF(E320="","",VLOOKUP('Opći dio'!$C$3,'Opći dio'!$L$6:$U$136,10,FALSE))</f>
        <v/>
      </c>
      <c r="B320" s="139" t="str">
        <f>IF(E320="","",VLOOKUP('Opći dio'!$C$3,'Opći dio'!$L$6:$U$136,9,FALSE))</f>
        <v/>
      </c>
      <c r="C320" s="187" t="str">
        <f t="shared" si="23"/>
        <v/>
      </c>
      <c r="D320" s="138" t="str">
        <f t="shared" si="24"/>
        <v/>
      </c>
      <c r="E320" s="150"/>
      <c r="F320" s="191" t="str">
        <f t="shared" si="25"/>
        <v/>
      </c>
      <c r="G320" s="185"/>
      <c r="H320" s="185"/>
      <c r="I320" s="185"/>
      <c r="K320" s="141" t="str">
        <f t="shared" si="26"/>
        <v/>
      </c>
      <c r="L320" s="141" t="str">
        <f t="shared" si="27"/>
        <v/>
      </c>
    </row>
    <row r="321" spans="1:12">
      <c r="A321" s="139" t="str">
        <f>IF(E321="","",VLOOKUP('Opći dio'!$C$3,'Opći dio'!$L$6:$U$136,10,FALSE))</f>
        <v/>
      </c>
      <c r="B321" s="139" t="str">
        <f>IF(E321="","",VLOOKUP('Opći dio'!$C$3,'Opći dio'!$L$6:$U$136,9,FALSE))</f>
        <v/>
      </c>
      <c r="C321" s="187" t="str">
        <f t="shared" si="23"/>
        <v/>
      </c>
      <c r="D321" s="138" t="str">
        <f t="shared" si="24"/>
        <v/>
      </c>
      <c r="E321" s="150"/>
      <c r="F321" s="191" t="str">
        <f t="shared" si="25"/>
        <v/>
      </c>
      <c r="G321" s="185"/>
      <c r="H321" s="185"/>
      <c r="I321" s="185"/>
      <c r="K321" s="141" t="str">
        <f t="shared" si="26"/>
        <v/>
      </c>
      <c r="L321" s="141" t="str">
        <f t="shared" si="27"/>
        <v/>
      </c>
    </row>
    <row r="322" spans="1:12">
      <c r="A322" s="139" t="str">
        <f>IF(E322="","",VLOOKUP('Opći dio'!$C$3,'Opći dio'!$L$6:$U$136,10,FALSE))</f>
        <v/>
      </c>
      <c r="B322" s="139" t="str">
        <f>IF(E322="","",VLOOKUP('Opći dio'!$C$3,'Opći dio'!$L$6:$U$136,9,FALSE))</f>
        <v/>
      </c>
      <c r="C322" s="187" t="str">
        <f t="shared" si="23"/>
        <v/>
      </c>
      <c r="D322" s="138" t="str">
        <f t="shared" si="24"/>
        <v/>
      </c>
      <c r="E322" s="150"/>
      <c r="F322" s="191" t="str">
        <f t="shared" si="25"/>
        <v/>
      </c>
      <c r="G322" s="185"/>
      <c r="H322" s="185"/>
      <c r="I322" s="185"/>
      <c r="K322" s="141" t="str">
        <f t="shared" si="26"/>
        <v/>
      </c>
      <c r="L322" s="141" t="str">
        <f t="shared" si="27"/>
        <v/>
      </c>
    </row>
    <row r="323" spans="1:12">
      <c r="A323" s="139" t="str">
        <f>IF(E323="","",VLOOKUP('Opći dio'!$C$3,'Opći dio'!$L$6:$U$136,10,FALSE))</f>
        <v/>
      </c>
      <c r="B323" s="139" t="str">
        <f>IF(E323="","",VLOOKUP('Opći dio'!$C$3,'Opći dio'!$L$6:$U$136,9,FALSE))</f>
        <v/>
      </c>
      <c r="C323" s="187" t="str">
        <f t="shared" si="23"/>
        <v/>
      </c>
      <c r="D323" s="138" t="str">
        <f t="shared" si="24"/>
        <v/>
      </c>
      <c r="E323" s="150"/>
      <c r="F323" s="191" t="str">
        <f t="shared" si="25"/>
        <v/>
      </c>
      <c r="G323" s="185"/>
      <c r="H323" s="185"/>
      <c r="I323" s="185"/>
      <c r="K323" s="141" t="str">
        <f t="shared" si="26"/>
        <v/>
      </c>
      <c r="L323" s="141" t="str">
        <f t="shared" si="27"/>
        <v/>
      </c>
    </row>
    <row r="324" spans="1:12">
      <c r="A324" s="139" t="str">
        <f>IF(E324="","",VLOOKUP('Opći dio'!$C$3,'Opći dio'!$L$6:$U$136,10,FALSE))</f>
        <v/>
      </c>
      <c r="B324" s="139" t="str">
        <f>IF(E324="","",VLOOKUP('Opći dio'!$C$3,'Opći dio'!$L$6:$U$136,9,FALSE))</f>
        <v/>
      </c>
      <c r="C324" s="187" t="str">
        <f t="shared" ref="C324:C387" si="28">IFERROR(VLOOKUP(E324,$Q$6:$T$200,3,FALSE),"")</f>
        <v/>
      </c>
      <c r="D324" s="138" t="str">
        <f t="shared" ref="D324:D387" si="29">IFERROR(VLOOKUP(E324,$Q$6:$T$200,4,FALSE),"")</f>
        <v/>
      </c>
      <c r="E324" s="150"/>
      <c r="F324" s="191" t="str">
        <f t="shared" ref="F324:F387" si="30">IFERROR(VLOOKUP(E324,$Q$6:$T$200,2,FALSE),"")</f>
        <v/>
      </c>
      <c r="G324" s="185"/>
      <c r="H324" s="185"/>
      <c r="I324" s="185"/>
      <c r="K324" s="141" t="str">
        <f t="shared" ref="K324:K387" si="31">LEFT(E324,3)</f>
        <v/>
      </c>
      <c r="L324" s="141" t="str">
        <f t="shared" ref="L324:L387" si="32">LEFT(E324,2)</f>
        <v/>
      </c>
    </row>
    <row r="325" spans="1:12">
      <c r="A325" s="139" t="str">
        <f>IF(E325="","",VLOOKUP('Opći dio'!$C$3,'Opći dio'!$L$6:$U$136,10,FALSE))</f>
        <v/>
      </c>
      <c r="B325" s="139" t="str">
        <f>IF(E325="","",VLOOKUP('Opći dio'!$C$3,'Opći dio'!$L$6:$U$136,9,FALSE))</f>
        <v/>
      </c>
      <c r="C325" s="187" t="str">
        <f t="shared" si="28"/>
        <v/>
      </c>
      <c r="D325" s="138" t="str">
        <f t="shared" si="29"/>
        <v/>
      </c>
      <c r="E325" s="150"/>
      <c r="F325" s="191" t="str">
        <f t="shared" si="30"/>
        <v/>
      </c>
      <c r="G325" s="185"/>
      <c r="H325" s="185"/>
      <c r="I325" s="185"/>
      <c r="K325" s="141" t="str">
        <f t="shared" si="31"/>
        <v/>
      </c>
      <c r="L325" s="141" t="str">
        <f t="shared" si="32"/>
        <v/>
      </c>
    </row>
    <row r="326" spans="1:12">
      <c r="A326" s="139" t="str">
        <f>IF(E326="","",VLOOKUP('Opći dio'!$C$3,'Opći dio'!$L$6:$U$136,10,FALSE))</f>
        <v/>
      </c>
      <c r="B326" s="139" t="str">
        <f>IF(E326="","",VLOOKUP('Opći dio'!$C$3,'Opći dio'!$L$6:$U$136,9,FALSE))</f>
        <v/>
      </c>
      <c r="C326" s="187" t="str">
        <f t="shared" si="28"/>
        <v/>
      </c>
      <c r="D326" s="138" t="str">
        <f t="shared" si="29"/>
        <v/>
      </c>
      <c r="E326" s="150"/>
      <c r="F326" s="191" t="str">
        <f t="shared" si="30"/>
        <v/>
      </c>
      <c r="G326" s="185"/>
      <c r="H326" s="185"/>
      <c r="I326" s="185"/>
      <c r="K326" s="141" t="str">
        <f t="shared" si="31"/>
        <v/>
      </c>
      <c r="L326" s="141" t="str">
        <f t="shared" si="32"/>
        <v/>
      </c>
    </row>
    <row r="327" spans="1:12">
      <c r="A327" s="139" t="str">
        <f>IF(E327="","",VLOOKUP('Opći dio'!$C$3,'Opći dio'!$L$6:$U$136,10,FALSE))</f>
        <v/>
      </c>
      <c r="B327" s="139" t="str">
        <f>IF(E327="","",VLOOKUP('Opći dio'!$C$3,'Opći dio'!$L$6:$U$136,9,FALSE))</f>
        <v/>
      </c>
      <c r="C327" s="187" t="str">
        <f t="shared" si="28"/>
        <v/>
      </c>
      <c r="D327" s="138" t="str">
        <f t="shared" si="29"/>
        <v/>
      </c>
      <c r="E327" s="150"/>
      <c r="F327" s="191" t="str">
        <f t="shared" si="30"/>
        <v/>
      </c>
      <c r="G327" s="185"/>
      <c r="H327" s="185"/>
      <c r="I327" s="185"/>
      <c r="K327" s="141" t="str">
        <f t="shared" si="31"/>
        <v/>
      </c>
      <c r="L327" s="141" t="str">
        <f t="shared" si="32"/>
        <v/>
      </c>
    </row>
    <row r="328" spans="1:12">
      <c r="A328" s="139" t="str">
        <f>IF(E328="","",VLOOKUP('Opći dio'!$C$3,'Opći dio'!$L$6:$U$136,10,FALSE))</f>
        <v/>
      </c>
      <c r="B328" s="139" t="str">
        <f>IF(E328="","",VLOOKUP('Opći dio'!$C$3,'Opći dio'!$L$6:$U$136,9,FALSE))</f>
        <v/>
      </c>
      <c r="C328" s="187" t="str">
        <f t="shared" si="28"/>
        <v/>
      </c>
      <c r="D328" s="138" t="str">
        <f t="shared" si="29"/>
        <v/>
      </c>
      <c r="E328" s="150"/>
      <c r="F328" s="191" t="str">
        <f t="shared" si="30"/>
        <v/>
      </c>
      <c r="G328" s="185"/>
      <c r="H328" s="185"/>
      <c r="I328" s="185"/>
      <c r="K328" s="141" t="str">
        <f t="shared" si="31"/>
        <v/>
      </c>
      <c r="L328" s="141" t="str">
        <f t="shared" si="32"/>
        <v/>
      </c>
    </row>
    <row r="329" spans="1:12">
      <c r="A329" s="139" t="str">
        <f>IF(E329="","",VLOOKUP('Opći dio'!$C$3,'Opći dio'!$L$6:$U$136,10,FALSE))</f>
        <v/>
      </c>
      <c r="B329" s="139" t="str">
        <f>IF(E329="","",VLOOKUP('Opći dio'!$C$3,'Opći dio'!$L$6:$U$136,9,FALSE))</f>
        <v/>
      </c>
      <c r="C329" s="187" t="str">
        <f t="shared" si="28"/>
        <v/>
      </c>
      <c r="D329" s="138" t="str">
        <f t="shared" si="29"/>
        <v/>
      </c>
      <c r="E329" s="150"/>
      <c r="F329" s="191" t="str">
        <f t="shared" si="30"/>
        <v/>
      </c>
      <c r="G329" s="185"/>
      <c r="H329" s="185"/>
      <c r="I329" s="185"/>
      <c r="K329" s="141" t="str">
        <f t="shared" si="31"/>
        <v/>
      </c>
      <c r="L329" s="141" t="str">
        <f t="shared" si="32"/>
        <v/>
      </c>
    </row>
    <row r="330" spans="1:12">
      <c r="A330" s="139" t="str">
        <f>IF(E330="","",VLOOKUP('Opći dio'!$C$3,'Opći dio'!$L$6:$U$136,10,FALSE))</f>
        <v/>
      </c>
      <c r="B330" s="139" t="str">
        <f>IF(E330="","",VLOOKUP('Opći dio'!$C$3,'Opći dio'!$L$6:$U$136,9,FALSE))</f>
        <v/>
      </c>
      <c r="C330" s="187" t="str">
        <f t="shared" si="28"/>
        <v/>
      </c>
      <c r="D330" s="138" t="str">
        <f t="shared" si="29"/>
        <v/>
      </c>
      <c r="E330" s="150"/>
      <c r="F330" s="191" t="str">
        <f t="shared" si="30"/>
        <v/>
      </c>
      <c r="G330" s="185"/>
      <c r="H330" s="185"/>
      <c r="I330" s="185"/>
      <c r="K330" s="141" t="str">
        <f t="shared" si="31"/>
        <v/>
      </c>
      <c r="L330" s="141" t="str">
        <f t="shared" si="32"/>
        <v/>
      </c>
    </row>
    <row r="331" spans="1:12">
      <c r="A331" s="139" t="str">
        <f>IF(E331="","",VLOOKUP('Opći dio'!$C$3,'Opći dio'!$L$6:$U$136,10,FALSE))</f>
        <v/>
      </c>
      <c r="B331" s="139" t="str">
        <f>IF(E331="","",VLOOKUP('Opći dio'!$C$3,'Opći dio'!$L$6:$U$136,9,FALSE))</f>
        <v/>
      </c>
      <c r="C331" s="187" t="str">
        <f t="shared" si="28"/>
        <v/>
      </c>
      <c r="D331" s="138" t="str">
        <f t="shared" si="29"/>
        <v/>
      </c>
      <c r="E331" s="150"/>
      <c r="F331" s="191" t="str">
        <f t="shared" si="30"/>
        <v/>
      </c>
      <c r="G331" s="185"/>
      <c r="H331" s="185"/>
      <c r="I331" s="185"/>
      <c r="K331" s="141" t="str">
        <f t="shared" si="31"/>
        <v/>
      </c>
      <c r="L331" s="141" t="str">
        <f t="shared" si="32"/>
        <v/>
      </c>
    </row>
    <row r="332" spans="1:12">
      <c r="A332" s="139" t="str">
        <f>IF(E332="","",VLOOKUP('Opći dio'!$C$3,'Opći dio'!$L$6:$U$136,10,FALSE))</f>
        <v/>
      </c>
      <c r="B332" s="139" t="str">
        <f>IF(E332="","",VLOOKUP('Opći dio'!$C$3,'Opći dio'!$L$6:$U$136,9,FALSE))</f>
        <v/>
      </c>
      <c r="C332" s="187" t="str">
        <f t="shared" si="28"/>
        <v/>
      </c>
      <c r="D332" s="138" t="str">
        <f t="shared" si="29"/>
        <v/>
      </c>
      <c r="E332" s="150"/>
      <c r="F332" s="191" t="str">
        <f t="shared" si="30"/>
        <v/>
      </c>
      <c r="G332" s="185"/>
      <c r="H332" s="185"/>
      <c r="I332" s="185"/>
      <c r="K332" s="141" t="str">
        <f t="shared" si="31"/>
        <v/>
      </c>
      <c r="L332" s="141" t="str">
        <f t="shared" si="32"/>
        <v/>
      </c>
    </row>
    <row r="333" spans="1:12">
      <c r="A333" s="139" t="str">
        <f>IF(E333="","",VLOOKUP('Opći dio'!$C$3,'Opći dio'!$L$6:$U$136,10,FALSE))</f>
        <v/>
      </c>
      <c r="B333" s="139" t="str">
        <f>IF(E333="","",VLOOKUP('Opći dio'!$C$3,'Opći dio'!$L$6:$U$136,9,FALSE))</f>
        <v/>
      </c>
      <c r="C333" s="187" t="str">
        <f t="shared" si="28"/>
        <v/>
      </c>
      <c r="D333" s="138" t="str">
        <f t="shared" si="29"/>
        <v/>
      </c>
      <c r="E333" s="150"/>
      <c r="F333" s="191" t="str">
        <f t="shared" si="30"/>
        <v/>
      </c>
      <c r="G333" s="185"/>
      <c r="H333" s="185"/>
      <c r="I333" s="185"/>
      <c r="K333" s="141" t="str">
        <f t="shared" si="31"/>
        <v/>
      </c>
      <c r="L333" s="141" t="str">
        <f t="shared" si="32"/>
        <v/>
      </c>
    </row>
    <row r="334" spans="1:12">
      <c r="A334" s="139" t="str">
        <f>IF(E334="","",VLOOKUP('Opći dio'!$C$3,'Opći dio'!$L$6:$U$136,10,FALSE))</f>
        <v/>
      </c>
      <c r="B334" s="139" t="str">
        <f>IF(E334="","",VLOOKUP('Opći dio'!$C$3,'Opći dio'!$L$6:$U$136,9,FALSE))</f>
        <v/>
      </c>
      <c r="C334" s="187" t="str">
        <f t="shared" si="28"/>
        <v/>
      </c>
      <c r="D334" s="138" t="str">
        <f t="shared" si="29"/>
        <v/>
      </c>
      <c r="E334" s="150"/>
      <c r="F334" s="191" t="str">
        <f t="shared" si="30"/>
        <v/>
      </c>
      <c r="G334" s="185"/>
      <c r="H334" s="185"/>
      <c r="I334" s="185"/>
      <c r="K334" s="141" t="str">
        <f t="shared" si="31"/>
        <v/>
      </c>
      <c r="L334" s="141" t="str">
        <f t="shared" si="32"/>
        <v/>
      </c>
    </row>
    <row r="335" spans="1:12">
      <c r="A335" s="139" t="str">
        <f>IF(E335="","",VLOOKUP('Opći dio'!$C$3,'Opći dio'!$L$6:$U$136,10,FALSE))</f>
        <v/>
      </c>
      <c r="B335" s="139" t="str">
        <f>IF(E335="","",VLOOKUP('Opći dio'!$C$3,'Opći dio'!$L$6:$U$136,9,FALSE))</f>
        <v/>
      </c>
      <c r="C335" s="187" t="str">
        <f t="shared" si="28"/>
        <v/>
      </c>
      <c r="D335" s="138" t="str">
        <f t="shared" si="29"/>
        <v/>
      </c>
      <c r="E335" s="150"/>
      <c r="F335" s="191" t="str">
        <f t="shared" si="30"/>
        <v/>
      </c>
      <c r="G335" s="185"/>
      <c r="H335" s="185"/>
      <c r="I335" s="185"/>
      <c r="K335" s="141" t="str">
        <f t="shared" si="31"/>
        <v/>
      </c>
      <c r="L335" s="141" t="str">
        <f t="shared" si="32"/>
        <v/>
      </c>
    </row>
    <row r="336" spans="1:12">
      <c r="A336" s="139" t="str">
        <f>IF(E336="","",VLOOKUP('Opći dio'!$C$3,'Opći dio'!$L$6:$U$136,10,FALSE))</f>
        <v/>
      </c>
      <c r="B336" s="139" t="str">
        <f>IF(E336="","",VLOOKUP('Opći dio'!$C$3,'Opći dio'!$L$6:$U$136,9,FALSE))</f>
        <v/>
      </c>
      <c r="C336" s="187" t="str">
        <f t="shared" si="28"/>
        <v/>
      </c>
      <c r="D336" s="138" t="str">
        <f t="shared" si="29"/>
        <v/>
      </c>
      <c r="E336" s="150"/>
      <c r="F336" s="191" t="str">
        <f t="shared" si="30"/>
        <v/>
      </c>
      <c r="G336" s="185"/>
      <c r="H336" s="185"/>
      <c r="I336" s="185"/>
      <c r="K336" s="141" t="str">
        <f t="shared" si="31"/>
        <v/>
      </c>
      <c r="L336" s="141" t="str">
        <f t="shared" si="32"/>
        <v/>
      </c>
    </row>
    <row r="337" spans="1:12">
      <c r="A337" s="139" t="str">
        <f>IF(E337="","",VLOOKUP('Opći dio'!$C$3,'Opći dio'!$L$6:$U$136,10,FALSE))</f>
        <v/>
      </c>
      <c r="B337" s="139" t="str">
        <f>IF(E337="","",VLOOKUP('Opći dio'!$C$3,'Opći dio'!$L$6:$U$136,9,FALSE))</f>
        <v/>
      </c>
      <c r="C337" s="187" t="str">
        <f t="shared" si="28"/>
        <v/>
      </c>
      <c r="D337" s="138" t="str">
        <f t="shared" si="29"/>
        <v/>
      </c>
      <c r="E337" s="150"/>
      <c r="F337" s="191" t="str">
        <f t="shared" si="30"/>
        <v/>
      </c>
      <c r="G337" s="185"/>
      <c r="H337" s="185"/>
      <c r="I337" s="185"/>
      <c r="K337" s="141" t="str">
        <f t="shared" si="31"/>
        <v/>
      </c>
      <c r="L337" s="141" t="str">
        <f t="shared" si="32"/>
        <v/>
      </c>
    </row>
    <row r="338" spans="1:12">
      <c r="A338" s="139" t="str">
        <f>IF(E338="","",VLOOKUP('Opći dio'!$C$3,'Opći dio'!$L$6:$U$136,10,FALSE))</f>
        <v/>
      </c>
      <c r="B338" s="139" t="str">
        <f>IF(E338="","",VLOOKUP('Opći dio'!$C$3,'Opći dio'!$L$6:$U$136,9,FALSE))</f>
        <v/>
      </c>
      <c r="C338" s="187" t="str">
        <f t="shared" si="28"/>
        <v/>
      </c>
      <c r="D338" s="138" t="str">
        <f t="shared" si="29"/>
        <v/>
      </c>
      <c r="E338" s="150"/>
      <c r="F338" s="191" t="str">
        <f t="shared" si="30"/>
        <v/>
      </c>
      <c r="G338" s="185"/>
      <c r="H338" s="185"/>
      <c r="I338" s="185"/>
      <c r="K338" s="141" t="str">
        <f t="shared" si="31"/>
        <v/>
      </c>
      <c r="L338" s="141" t="str">
        <f t="shared" si="32"/>
        <v/>
      </c>
    </row>
    <row r="339" spans="1:12">
      <c r="A339" s="139" t="str">
        <f>IF(E339="","",VLOOKUP('Opći dio'!$C$3,'Opći dio'!$L$6:$U$136,10,FALSE))</f>
        <v/>
      </c>
      <c r="B339" s="139" t="str">
        <f>IF(E339="","",VLOOKUP('Opći dio'!$C$3,'Opći dio'!$L$6:$U$136,9,FALSE))</f>
        <v/>
      </c>
      <c r="C339" s="187" t="str">
        <f t="shared" si="28"/>
        <v/>
      </c>
      <c r="D339" s="138" t="str">
        <f t="shared" si="29"/>
        <v/>
      </c>
      <c r="E339" s="150"/>
      <c r="F339" s="191" t="str">
        <f t="shared" si="30"/>
        <v/>
      </c>
      <c r="G339" s="185"/>
      <c r="H339" s="185"/>
      <c r="I339" s="185"/>
      <c r="K339" s="141" t="str">
        <f t="shared" si="31"/>
        <v/>
      </c>
      <c r="L339" s="141" t="str">
        <f t="shared" si="32"/>
        <v/>
      </c>
    </row>
    <row r="340" spans="1:12">
      <c r="A340" s="139" t="str">
        <f>IF(E340="","",VLOOKUP('Opći dio'!$C$3,'Opći dio'!$L$6:$U$136,10,FALSE))</f>
        <v/>
      </c>
      <c r="B340" s="139" t="str">
        <f>IF(E340="","",VLOOKUP('Opći dio'!$C$3,'Opći dio'!$L$6:$U$136,9,FALSE))</f>
        <v/>
      </c>
      <c r="C340" s="187" t="str">
        <f t="shared" si="28"/>
        <v/>
      </c>
      <c r="D340" s="138" t="str">
        <f t="shared" si="29"/>
        <v/>
      </c>
      <c r="E340" s="150"/>
      <c r="F340" s="191" t="str">
        <f t="shared" si="30"/>
        <v/>
      </c>
      <c r="G340" s="185"/>
      <c r="H340" s="185"/>
      <c r="I340" s="185"/>
      <c r="K340" s="141" t="str">
        <f t="shared" si="31"/>
        <v/>
      </c>
      <c r="L340" s="141" t="str">
        <f t="shared" si="32"/>
        <v/>
      </c>
    </row>
    <row r="341" spans="1:12">
      <c r="A341" s="139" t="str">
        <f>IF(E341="","",VLOOKUP('Opći dio'!$C$3,'Opći dio'!$L$6:$U$136,10,FALSE))</f>
        <v/>
      </c>
      <c r="B341" s="139" t="str">
        <f>IF(E341="","",VLOOKUP('Opći dio'!$C$3,'Opći dio'!$L$6:$U$136,9,FALSE))</f>
        <v/>
      </c>
      <c r="C341" s="187" t="str">
        <f t="shared" si="28"/>
        <v/>
      </c>
      <c r="D341" s="138" t="str">
        <f t="shared" si="29"/>
        <v/>
      </c>
      <c r="E341" s="150"/>
      <c r="F341" s="191" t="str">
        <f t="shared" si="30"/>
        <v/>
      </c>
      <c r="G341" s="185"/>
      <c r="H341" s="185"/>
      <c r="I341" s="185"/>
      <c r="K341" s="141" t="str">
        <f t="shared" si="31"/>
        <v/>
      </c>
      <c r="L341" s="141" t="str">
        <f t="shared" si="32"/>
        <v/>
      </c>
    </row>
    <row r="342" spans="1:12">
      <c r="A342" s="139" t="str">
        <f>IF(E342="","",VLOOKUP('Opći dio'!$C$3,'Opći dio'!$L$6:$U$136,10,FALSE))</f>
        <v/>
      </c>
      <c r="B342" s="139" t="str">
        <f>IF(E342="","",VLOOKUP('Opći dio'!$C$3,'Opći dio'!$L$6:$U$136,9,FALSE))</f>
        <v/>
      </c>
      <c r="C342" s="187" t="str">
        <f t="shared" si="28"/>
        <v/>
      </c>
      <c r="D342" s="138" t="str">
        <f t="shared" si="29"/>
        <v/>
      </c>
      <c r="E342" s="150"/>
      <c r="F342" s="191" t="str">
        <f t="shared" si="30"/>
        <v/>
      </c>
      <c r="G342" s="185"/>
      <c r="H342" s="185"/>
      <c r="I342" s="185"/>
      <c r="K342" s="141" t="str">
        <f t="shared" si="31"/>
        <v/>
      </c>
      <c r="L342" s="141" t="str">
        <f t="shared" si="32"/>
        <v/>
      </c>
    </row>
    <row r="343" spans="1:12">
      <c r="A343" s="139" t="str">
        <f>IF(E343="","",VLOOKUP('Opći dio'!$C$3,'Opći dio'!$L$6:$U$136,10,FALSE))</f>
        <v/>
      </c>
      <c r="B343" s="139" t="str">
        <f>IF(E343="","",VLOOKUP('Opći dio'!$C$3,'Opći dio'!$L$6:$U$136,9,FALSE))</f>
        <v/>
      </c>
      <c r="C343" s="187" t="str">
        <f t="shared" si="28"/>
        <v/>
      </c>
      <c r="D343" s="138" t="str">
        <f t="shared" si="29"/>
        <v/>
      </c>
      <c r="E343" s="150"/>
      <c r="F343" s="191" t="str">
        <f t="shared" si="30"/>
        <v/>
      </c>
      <c r="G343" s="185"/>
      <c r="H343" s="185"/>
      <c r="I343" s="185"/>
      <c r="K343" s="141" t="str">
        <f t="shared" si="31"/>
        <v/>
      </c>
      <c r="L343" s="141" t="str">
        <f t="shared" si="32"/>
        <v/>
      </c>
    </row>
    <row r="344" spans="1:12">
      <c r="A344" s="139" t="str">
        <f>IF(E344="","",VLOOKUP('Opći dio'!$C$3,'Opći dio'!$L$6:$U$136,10,FALSE))</f>
        <v/>
      </c>
      <c r="B344" s="139" t="str">
        <f>IF(E344="","",VLOOKUP('Opći dio'!$C$3,'Opći dio'!$L$6:$U$136,9,FALSE))</f>
        <v/>
      </c>
      <c r="C344" s="187" t="str">
        <f t="shared" si="28"/>
        <v/>
      </c>
      <c r="D344" s="138" t="str">
        <f t="shared" si="29"/>
        <v/>
      </c>
      <c r="E344" s="150"/>
      <c r="F344" s="191" t="str">
        <f t="shared" si="30"/>
        <v/>
      </c>
      <c r="G344" s="185"/>
      <c r="H344" s="185"/>
      <c r="I344" s="185"/>
      <c r="K344" s="141" t="str">
        <f t="shared" si="31"/>
        <v/>
      </c>
      <c r="L344" s="141" t="str">
        <f t="shared" si="32"/>
        <v/>
      </c>
    </row>
    <row r="345" spans="1:12">
      <c r="A345" s="139" t="str">
        <f>IF(E345="","",VLOOKUP('Opći dio'!$C$3,'Opći dio'!$L$6:$U$136,10,FALSE))</f>
        <v/>
      </c>
      <c r="B345" s="139" t="str">
        <f>IF(E345="","",VLOOKUP('Opći dio'!$C$3,'Opći dio'!$L$6:$U$136,9,FALSE))</f>
        <v/>
      </c>
      <c r="C345" s="187" t="str">
        <f t="shared" si="28"/>
        <v/>
      </c>
      <c r="D345" s="138" t="str">
        <f t="shared" si="29"/>
        <v/>
      </c>
      <c r="E345" s="150"/>
      <c r="F345" s="191" t="str">
        <f t="shared" si="30"/>
        <v/>
      </c>
      <c r="G345" s="185"/>
      <c r="H345" s="185"/>
      <c r="I345" s="185"/>
      <c r="K345" s="141" t="str">
        <f t="shared" si="31"/>
        <v/>
      </c>
      <c r="L345" s="141" t="str">
        <f t="shared" si="32"/>
        <v/>
      </c>
    </row>
    <row r="346" spans="1:12">
      <c r="A346" s="139" t="str">
        <f>IF(E346="","",VLOOKUP('Opći dio'!$C$3,'Opći dio'!$L$6:$U$136,10,FALSE))</f>
        <v/>
      </c>
      <c r="B346" s="139" t="str">
        <f>IF(E346="","",VLOOKUP('Opći dio'!$C$3,'Opći dio'!$L$6:$U$136,9,FALSE))</f>
        <v/>
      </c>
      <c r="C346" s="187" t="str">
        <f t="shared" si="28"/>
        <v/>
      </c>
      <c r="D346" s="138" t="str">
        <f t="shared" si="29"/>
        <v/>
      </c>
      <c r="E346" s="150"/>
      <c r="F346" s="191" t="str">
        <f t="shared" si="30"/>
        <v/>
      </c>
      <c r="G346" s="185"/>
      <c r="H346" s="185"/>
      <c r="I346" s="185"/>
      <c r="K346" s="141" t="str">
        <f t="shared" si="31"/>
        <v/>
      </c>
      <c r="L346" s="141" t="str">
        <f t="shared" si="32"/>
        <v/>
      </c>
    </row>
    <row r="347" spans="1:12">
      <c r="A347" s="139" t="str">
        <f>IF(E347="","",VLOOKUP('Opći dio'!$C$3,'Opći dio'!$L$6:$U$136,10,FALSE))</f>
        <v/>
      </c>
      <c r="B347" s="139" t="str">
        <f>IF(E347="","",VLOOKUP('Opći dio'!$C$3,'Opći dio'!$L$6:$U$136,9,FALSE))</f>
        <v/>
      </c>
      <c r="C347" s="187" t="str">
        <f t="shared" si="28"/>
        <v/>
      </c>
      <c r="D347" s="138" t="str">
        <f t="shared" si="29"/>
        <v/>
      </c>
      <c r="E347" s="150"/>
      <c r="F347" s="191" t="str">
        <f t="shared" si="30"/>
        <v/>
      </c>
      <c r="G347" s="185"/>
      <c r="H347" s="185"/>
      <c r="I347" s="185"/>
      <c r="K347" s="141" t="str">
        <f t="shared" si="31"/>
        <v/>
      </c>
      <c r="L347" s="141" t="str">
        <f t="shared" si="32"/>
        <v/>
      </c>
    </row>
    <row r="348" spans="1:12">
      <c r="A348" s="139" t="str">
        <f>IF(E348="","",VLOOKUP('Opći dio'!$C$3,'Opći dio'!$L$6:$U$136,10,FALSE))</f>
        <v/>
      </c>
      <c r="B348" s="139" t="str">
        <f>IF(E348="","",VLOOKUP('Opći dio'!$C$3,'Opći dio'!$L$6:$U$136,9,FALSE))</f>
        <v/>
      </c>
      <c r="C348" s="187" t="str">
        <f t="shared" si="28"/>
        <v/>
      </c>
      <c r="D348" s="138" t="str">
        <f t="shared" si="29"/>
        <v/>
      </c>
      <c r="E348" s="150"/>
      <c r="F348" s="191" t="str">
        <f t="shared" si="30"/>
        <v/>
      </c>
      <c r="G348" s="185"/>
      <c r="H348" s="185"/>
      <c r="I348" s="185"/>
      <c r="K348" s="141" t="str">
        <f t="shared" si="31"/>
        <v/>
      </c>
      <c r="L348" s="141" t="str">
        <f t="shared" si="32"/>
        <v/>
      </c>
    </row>
    <row r="349" spans="1:12">
      <c r="A349" s="139" t="str">
        <f>IF(E349="","",VLOOKUP('Opći dio'!$C$3,'Opći dio'!$L$6:$U$136,10,FALSE))</f>
        <v/>
      </c>
      <c r="B349" s="139" t="str">
        <f>IF(E349="","",VLOOKUP('Opći dio'!$C$3,'Opći dio'!$L$6:$U$136,9,FALSE))</f>
        <v/>
      </c>
      <c r="C349" s="187" t="str">
        <f t="shared" si="28"/>
        <v/>
      </c>
      <c r="D349" s="138" t="str">
        <f t="shared" si="29"/>
        <v/>
      </c>
      <c r="E349" s="150"/>
      <c r="F349" s="191" t="str">
        <f t="shared" si="30"/>
        <v/>
      </c>
      <c r="G349" s="185"/>
      <c r="H349" s="185"/>
      <c r="I349" s="185"/>
      <c r="K349" s="141" t="str">
        <f t="shared" si="31"/>
        <v/>
      </c>
      <c r="L349" s="141" t="str">
        <f t="shared" si="32"/>
        <v/>
      </c>
    </row>
    <row r="350" spans="1:12">
      <c r="A350" s="139" t="str">
        <f>IF(E350="","",VLOOKUP('Opći dio'!$C$3,'Opći dio'!$L$6:$U$136,10,FALSE))</f>
        <v/>
      </c>
      <c r="B350" s="139" t="str">
        <f>IF(E350="","",VLOOKUP('Opći dio'!$C$3,'Opći dio'!$L$6:$U$136,9,FALSE))</f>
        <v/>
      </c>
      <c r="C350" s="187" t="str">
        <f t="shared" si="28"/>
        <v/>
      </c>
      <c r="D350" s="138" t="str">
        <f t="shared" si="29"/>
        <v/>
      </c>
      <c r="E350" s="150"/>
      <c r="F350" s="191" t="str">
        <f t="shared" si="30"/>
        <v/>
      </c>
      <c r="G350" s="185"/>
      <c r="H350" s="185"/>
      <c r="I350" s="185"/>
      <c r="K350" s="141" t="str">
        <f t="shared" si="31"/>
        <v/>
      </c>
      <c r="L350" s="141" t="str">
        <f t="shared" si="32"/>
        <v/>
      </c>
    </row>
    <row r="351" spans="1:12">
      <c r="A351" s="139" t="str">
        <f>IF(E351="","",VLOOKUP('Opći dio'!$C$3,'Opći dio'!$L$6:$U$136,10,FALSE))</f>
        <v/>
      </c>
      <c r="B351" s="139" t="str">
        <f>IF(E351="","",VLOOKUP('Opći dio'!$C$3,'Opći dio'!$L$6:$U$136,9,FALSE))</f>
        <v/>
      </c>
      <c r="C351" s="187" t="str">
        <f t="shared" si="28"/>
        <v/>
      </c>
      <c r="D351" s="138" t="str">
        <f t="shared" si="29"/>
        <v/>
      </c>
      <c r="E351" s="150"/>
      <c r="F351" s="191" t="str">
        <f t="shared" si="30"/>
        <v/>
      </c>
      <c r="G351" s="185"/>
      <c r="H351" s="185"/>
      <c r="I351" s="185"/>
      <c r="K351" s="141" t="str">
        <f t="shared" si="31"/>
        <v/>
      </c>
      <c r="L351" s="141" t="str">
        <f t="shared" si="32"/>
        <v/>
      </c>
    </row>
    <row r="352" spans="1:12">
      <c r="A352" s="139" t="str">
        <f>IF(E352="","",VLOOKUP('Opći dio'!$C$3,'Opći dio'!$L$6:$U$136,10,FALSE))</f>
        <v/>
      </c>
      <c r="B352" s="139" t="str">
        <f>IF(E352="","",VLOOKUP('Opći dio'!$C$3,'Opći dio'!$L$6:$U$136,9,FALSE))</f>
        <v/>
      </c>
      <c r="C352" s="187" t="str">
        <f t="shared" si="28"/>
        <v/>
      </c>
      <c r="D352" s="138" t="str">
        <f t="shared" si="29"/>
        <v/>
      </c>
      <c r="E352" s="150"/>
      <c r="F352" s="191" t="str">
        <f t="shared" si="30"/>
        <v/>
      </c>
      <c r="G352" s="185"/>
      <c r="H352" s="185"/>
      <c r="I352" s="185"/>
      <c r="K352" s="141" t="str">
        <f t="shared" si="31"/>
        <v/>
      </c>
      <c r="L352" s="141" t="str">
        <f t="shared" si="32"/>
        <v/>
      </c>
    </row>
    <row r="353" spans="1:12">
      <c r="A353" s="139" t="str">
        <f>IF(E353="","",VLOOKUP('Opći dio'!$C$3,'Opći dio'!$L$6:$U$136,10,FALSE))</f>
        <v/>
      </c>
      <c r="B353" s="139" t="str">
        <f>IF(E353="","",VLOOKUP('Opći dio'!$C$3,'Opći dio'!$L$6:$U$136,9,FALSE))</f>
        <v/>
      </c>
      <c r="C353" s="187" t="str">
        <f t="shared" si="28"/>
        <v/>
      </c>
      <c r="D353" s="138" t="str">
        <f t="shared" si="29"/>
        <v/>
      </c>
      <c r="E353" s="150"/>
      <c r="F353" s="191" t="str">
        <f t="shared" si="30"/>
        <v/>
      </c>
      <c r="G353" s="185"/>
      <c r="H353" s="185"/>
      <c r="I353" s="185"/>
      <c r="K353" s="141" t="str">
        <f t="shared" si="31"/>
        <v/>
      </c>
      <c r="L353" s="141" t="str">
        <f t="shared" si="32"/>
        <v/>
      </c>
    </row>
    <row r="354" spans="1:12">
      <c r="A354" s="139" t="str">
        <f>IF(E354="","",VLOOKUP('Opći dio'!$C$3,'Opći dio'!$L$6:$U$136,10,FALSE))</f>
        <v/>
      </c>
      <c r="B354" s="139" t="str">
        <f>IF(E354="","",VLOOKUP('Opći dio'!$C$3,'Opći dio'!$L$6:$U$136,9,FALSE))</f>
        <v/>
      </c>
      <c r="C354" s="187" t="str">
        <f t="shared" si="28"/>
        <v/>
      </c>
      <c r="D354" s="138" t="str">
        <f t="shared" si="29"/>
        <v/>
      </c>
      <c r="E354" s="150"/>
      <c r="F354" s="191" t="str">
        <f t="shared" si="30"/>
        <v/>
      </c>
      <c r="G354" s="185"/>
      <c r="H354" s="185"/>
      <c r="I354" s="185"/>
      <c r="K354" s="141" t="str">
        <f t="shared" si="31"/>
        <v/>
      </c>
      <c r="L354" s="141" t="str">
        <f t="shared" si="32"/>
        <v/>
      </c>
    </row>
    <row r="355" spans="1:12">
      <c r="A355" s="139" t="str">
        <f>IF(E355="","",VLOOKUP('Opći dio'!$C$3,'Opći dio'!$L$6:$U$136,10,FALSE))</f>
        <v/>
      </c>
      <c r="B355" s="139" t="str">
        <f>IF(E355="","",VLOOKUP('Opći dio'!$C$3,'Opći dio'!$L$6:$U$136,9,FALSE))</f>
        <v/>
      </c>
      <c r="C355" s="187" t="str">
        <f t="shared" si="28"/>
        <v/>
      </c>
      <c r="D355" s="138" t="str">
        <f t="shared" si="29"/>
        <v/>
      </c>
      <c r="E355" s="150"/>
      <c r="F355" s="191" t="str">
        <f t="shared" si="30"/>
        <v/>
      </c>
      <c r="G355" s="185"/>
      <c r="H355" s="185"/>
      <c r="I355" s="185"/>
      <c r="K355" s="141" t="str">
        <f t="shared" si="31"/>
        <v/>
      </c>
      <c r="L355" s="141" t="str">
        <f t="shared" si="32"/>
        <v/>
      </c>
    </row>
    <row r="356" spans="1:12">
      <c r="A356" s="139" t="str">
        <f>IF(E356="","",VLOOKUP('Opći dio'!$C$3,'Opći dio'!$L$6:$U$136,10,FALSE))</f>
        <v/>
      </c>
      <c r="B356" s="139" t="str">
        <f>IF(E356="","",VLOOKUP('Opći dio'!$C$3,'Opći dio'!$L$6:$U$136,9,FALSE))</f>
        <v/>
      </c>
      <c r="C356" s="187" t="str">
        <f t="shared" si="28"/>
        <v/>
      </c>
      <c r="D356" s="138" t="str">
        <f t="shared" si="29"/>
        <v/>
      </c>
      <c r="E356" s="150"/>
      <c r="F356" s="191" t="str">
        <f t="shared" si="30"/>
        <v/>
      </c>
      <c r="G356" s="185"/>
      <c r="H356" s="185"/>
      <c r="I356" s="185"/>
      <c r="K356" s="141" t="str">
        <f t="shared" si="31"/>
        <v/>
      </c>
      <c r="L356" s="141" t="str">
        <f t="shared" si="32"/>
        <v/>
      </c>
    </row>
    <row r="357" spans="1:12">
      <c r="A357" s="139" t="str">
        <f>IF(E357="","",VLOOKUP('Opći dio'!$C$3,'Opći dio'!$L$6:$U$136,10,FALSE))</f>
        <v/>
      </c>
      <c r="B357" s="139" t="str">
        <f>IF(E357="","",VLOOKUP('Opći dio'!$C$3,'Opći dio'!$L$6:$U$136,9,FALSE))</f>
        <v/>
      </c>
      <c r="C357" s="187" t="str">
        <f t="shared" si="28"/>
        <v/>
      </c>
      <c r="D357" s="138" t="str">
        <f t="shared" si="29"/>
        <v/>
      </c>
      <c r="E357" s="150"/>
      <c r="F357" s="191" t="str">
        <f t="shared" si="30"/>
        <v/>
      </c>
      <c r="G357" s="185"/>
      <c r="H357" s="185"/>
      <c r="I357" s="185"/>
      <c r="K357" s="141" t="str">
        <f t="shared" si="31"/>
        <v/>
      </c>
      <c r="L357" s="141" t="str">
        <f t="shared" si="32"/>
        <v/>
      </c>
    </row>
    <row r="358" spans="1:12">
      <c r="A358" s="139" t="str">
        <f>IF(E358="","",VLOOKUP('Opći dio'!$C$3,'Opći dio'!$L$6:$U$136,10,FALSE))</f>
        <v/>
      </c>
      <c r="B358" s="139" t="str">
        <f>IF(E358="","",VLOOKUP('Opći dio'!$C$3,'Opći dio'!$L$6:$U$136,9,FALSE))</f>
        <v/>
      </c>
      <c r="C358" s="187" t="str">
        <f t="shared" si="28"/>
        <v/>
      </c>
      <c r="D358" s="138" t="str">
        <f t="shared" si="29"/>
        <v/>
      </c>
      <c r="E358" s="150"/>
      <c r="F358" s="191" t="str">
        <f t="shared" si="30"/>
        <v/>
      </c>
      <c r="G358" s="185"/>
      <c r="H358" s="185"/>
      <c r="I358" s="185"/>
      <c r="K358" s="141" t="str">
        <f t="shared" si="31"/>
        <v/>
      </c>
      <c r="L358" s="141" t="str">
        <f t="shared" si="32"/>
        <v/>
      </c>
    </row>
    <row r="359" spans="1:12">
      <c r="A359" s="139" t="str">
        <f>IF(E359="","",VLOOKUP('Opći dio'!$C$3,'Opći dio'!$L$6:$U$136,10,FALSE))</f>
        <v/>
      </c>
      <c r="B359" s="139" t="str">
        <f>IF(E359="","",VLOOKUP('Opći dio'!$C$3,'Opći dio'!$L$6:$U$136,9,FALSE))</f>
        <v/>
      </c>
      <c r="C359" s="187" t="str">
        <f t="shared" si="28"/>
        <v/>
      </c>
      <c r="D359" s="138" t="str">
        <f t="shared" si="29"/>
        <v/>
      </c>
      <c r="E359" s="150"/>
      <c r="F359" s="191" t="str">
        <f t="shared" si="30"/>
        <v/>
      </c>
      <c r="G359" s="185"/>
      <c r="H359" s="185"/>
      <c r="I359" s="185"/>
      <c r="K359" s="141" t="str">
        <f t="shared" si="31"/>
        <v/>
      </c>
      <c r="L359" s="141" t="str">
        <f t="shared" si="32"/>
        <v/>
      </c>
    </row>
    <row r="360" spans="1:12">
      <c r="A360" s="139" t="str">
        <f>IF(E360="","",VLOOKUP('Opći dio'!$C$3,'Opći dio'!$L$6:$U$136,10,FALSE))</f>
        <v/>
      </c>
      <c r="B360" s="139" t="str">
        <f>IF(E360="","",VLOOKUP('Opći dio'!$C$3,'Opći dio'!$L$6:$U$136,9,FALSE))</f>
        <v/>
      </c>
      <c r="C360" s="187" t="str">
        <f t="shared" si="28"/>
        <v/>
      </c>
      <c r="D360" s="138" t="str">
        <f t="shared" si="29"/>
        <v/>
      </c>
      <c r="E360" s="150"/>
      <c r="F360" s="191" t="str">
        <f t="shared" si="30"/>
        <v/>
      </c>
      <c r="G360" s="185"/>
      <c r="H360" s="185"/>
      <c r="I360" s="185"/>
      <c r="K360" s="141" t="str">
        <f t="shared" si="31"/>
        <v/>
      </c>
      <c r="L360" s="141" t="str">
        <f t="shared" si="32"/>
        <v/>
      </c>
    </row>
    <row r="361" spans="1:12">
      <c r="A361" s="139" t="str">
        <f>IF(E361="","",VLOOKUP('Opći dio'!$C$3,'Opći dio'!$L$6:$U$136,10,FALSE))</f>
        <v/>
      </c>
      <c r="B361" s="139" t="str">
        <f>IF(E361="","",VLOOKUP('Opći dio'!$C$3,'Opći dio'!$L$6:$U$136,9,FALSE))</f>
        <v/>
      </c>
      <c r="C361" s="187" t="str">
        <f t="shared" si="28"/>
        <v/>
      </c>
      <c r="D361" s="138" t="str">
        <f t="shared" si="29"/>
        <v/>
      </c>
      <c r="E361" s="150"/>
      <c r="F361" s="191" t="str">
        <f t="shared" si="30"/>
        <v/>
      </c>
      <c r="G361" s="185"/>
      <c r="H361" s="185"/>
      <c r="I361" s="185"/>
      <c r="K361" s="141" t="str">
        <f t="shared" si="31"/>
        <v/>
      </c>
      <c r="L361" s="141" t="str">
        <f t="shared" si="32"/>
        <v/>
      </c>
    </row>
    <row r="362" spans="1:12">
      <c r="A362" s="139" t="str">
        <f>IF(E362="","",VLOOKUP('Opći dio'!$C$3,'Opći dio'!$L$6:$U$136,10,FALSE))</f>
        <v/>
      </c>
      <c r="B362" s="139" t="str">
        <f>IF(E362="","",VLOOKUP('Opći dio'!$C$3,'Opći dio'!$L$6:$U$136,9,FALSE))</f>
        <v/>
      </c>
      <c r="C362" s="187" t="str">
        <f t="shared" si="28"/>
        <v/>
      </c>
      <c r="D362" s="138" t="str">
        <f t="shared" si="29"/>
        <v/>
      </c>
      <c r="E362" s="150"/>
      <c r="F362" s="191" t="str">
        <f t="shared" si="30"/>
        <v/>
      </c>
      <c r="G362" s="185"/>
      <c r="H362" s="185"/>
      <c r="I362" s="185"/>
      <c r="K362" s="141" t="str">
        <f t="shared" si="31"/>
        <v/>
      </c>
      <c r="L362" s="141" t="str">
        <f t="shared" si="32"/>
        <v/>
      </c>
    </row>
    <row r="363" spans="1:12">
      <c r="A363" s="139" t="str">
        <f>IF(E363="","",VLOOKUP('Opći dio'!$C$3,'Opći dio'!$L$6:$U$136,10,FALSE))</f>
        <v/>
      </c>
      <c r="B363" s="139" t="str">
        <f>IF(E363="","",VLOOKUP('Opći dio'!$C$3,'Opći dio'!$L$6:$U$136,9,FALSE))</f>
        <v/>
      </c>
      <c r="C363" s="187" t="str">
        <f t="shared" si="28"/>
        <v/>
      </c>
      <c r="D363" s="138" t="str">
        <f t="shared" si="29"/>
        <v/>
      </c>
      <c r="E363" s="150"/>
      <c r="F363" s="191" t="str">
        <f t="shared" si="30"/>
        <v/>
      </c>
      <c r="G363" s="185"/>
      <c r="H363" s="185"/>
      <c r="I363" s="185"/>
      <c r="K363" s="141" t="str">
        <f t="shared" si="31"/>
        <v/>
      </c>
      <c r="L363" s="141" t="str">
        <f t="shared" si="32"/>
        <v/>
      </c>
    </row>
    <row r="364" spans="1:12">
      <c r="A364" s="139" t="str">
        <f>IF(E364="","",VLOOKUP('Opći dio'!$C$3,'Opći dio'!$L$6:$U$136,10,FALSE))</f>
        <v/>
      </c>
      <c r="B364" s="139" t="str">
        <f>IF(E364="","",VLOOKUP('Opći dio'!$C$3,'Opći dio'!$L$6:$U$136,9,FALSE))</f>
        <v/>
      </c>
      <c r="C364" s="187" t="str">
        <f t="shared" si="28"/>
        <v/>
      </c>
      <c r="D364" s="138" t="str">
        <f t="shared" si="29"/>
        <v/>
      </c>
      <c r="E364" s="150"/>
      <c r="F364" s="191" t="str">
        <f t="shared" si="30"/>
        <v/>
      </c>
      <c r="G364" s="185"/>
      <c r="H364" s="185"/>
      <c r="I364" s="185"/>
      <c r="K364" s="141" t="str">
        <f t="shared" si="31"/>
        <v/>
      </c>
      <c r="L364" s="141" t="str">
        <f t="shared" si="32"/>
        <v/>
      </c>
    </row>
    <row r="365" spans="1:12">
      <c r="A365" s="139" t="str">
        <f>IF(E365="","",VLOOKUP('Opći dio'!$C$3,'Opći dio'!$L$6:$U$136,10,FALSE))</f>
        <v/>
      </c>
      <c r="B365" s="139" t="str">
        <f>IF(E365="","",VLOOKUP('Opći dio'!$C$3,'Opći dio'!$L$6:$U$136,9,FALSE))</f>
        <v/>
      </c>
      <c r="C365" s="187" t="str">
        <f t="shared" si="28"/>
        <v/>
      </c>
      <c r="D365" s="138" t="str">
        <f t="shared" si="29"/>
        <v/>
      </c>
      <c r="E365" s="150"/>
      <c r="F365" s="191" t="str">
        <f t="shared" si="30"/>
        <v/>
      </c>
      <c r="G365" s="185"/>
      <c r="H365" s="185"/>
      <c r="I365" s="185"/>
      <c r="K365" s="141" t="str">
        <f t="shared" si="31"/>
        <v/>
      </c>
      <c r="L365" s="141" t="str">
        <f t="shared" si="32"/>
        <v/>
      </c>
    </row>
    <row r="366" spans="1:12">
      <c r="A366" s="139" t="str">
        <f>IF(E366="","",VLOOKUP('Opći dio'!$C$3,'Opći dio'!$L$6:$U$136,10,FALSE))</f>
        <v/>
      </c>
      <c r="B366" s="139" t="str">
        <f>IF(E366="","",VLOOKUP('Opći dio'!$C$3,'Opći dio'!$L$6:$U$136,9,FALSE))</f>
        <v/>
      </c>
      <c r="C366" s="187" t="str">
        <f t="shared" si="28"/>
        <v/>
      </c>
      <c r="D366" s="138" t="str">
        <f t="shared" si="29"/>
        <v/>
      </c>
      <c r="E366" s="150"/>
      <c r="F366" s="191" t="str">
        <f t="shared" si="30"/>
        <v/>
      </c>
      <c r="G366" s="185"/>
      <c r="H366" s="185"/>
      <c r="I366" s="185"/>
      <c r="K366" s="141" t="str">
        <f t="shared" si="31"/>
        <v/>
      </c>
      <c r="L366" s="141" t="str">
        <f t="shared" si="32"/>
        <v/>
      </c>
    </row>
    <row r="367" spans="1:12">
      <c r="A367" s="139" t="str">
        <f>IF(E367="","",VLOOKUP('Opći dio'!$C$3,'Opći dio'!$L$6:$U$136,10,FALSE))</f>
        <v/>
      </c>
      <c r="B367" s="139" t="str">
        <f>IF(E367="","",VLOOKUP('Opći dio'!$C$3,'Opći dio'!$L$6:$U$136,9,FALSE))</f>
        <v/>
      </c>
      <c r="C367" s="187" t="str">
        <f t="shared" si="28"/>
        <v/>
      </c>
      <c r="D367" s="138" t="str">
        <f t="shared" si="29"/>
        <v/>
      </c>
      <c r="E367" s="150"/>
      <c r="F367" s="191" t="str">
        <f t="shared" si="30"/>
        <v/>
      </c>
      <c r="G367" s="185"/>
      <c r="H367" s="185"/>
      <c r="I367" s="185"/>
      <c r="K367" s="141" t="str">
        <f t="shared" si="31"/>
        <v/>
      </c>
      <c r="L367" s="141" t="str">
        <f t="shared" si="32"/>
        <v/>
      </c>
    </row>
    <row r="368" spans="1:12">
      <c r="A368" s="139" t="str">
        <f>IF(E368="","",VLOOKUP('Opći dio'!$C$3,'Opći dio'!$L$6:$U$136,10,FALSE))</f>
        <v/>
      </c>
      <c r="B368" s="139" t="str">
        <f>IF(E368="","",VLOOKUP('Opći dio'!$C$3,'Opći dio'!$L$6:$U$136,9,FALSE))</f>
        <v/>
      </c>
      <c r="C368" s="187" t="str">
        <f t="shared" si="28"/>
        <v/>
      </c>
      <c r="D368" s="138" t="str">
        <f t="shared" si="29"/>
        <v/>
      </c>
      <c r="E368" s="150"/>
      <c r="F368" s="191" t="str">
        <f t="shared" si="30"/>
        <v/>
      </c>
      <c r="G368" s="185"/>
      <c r="H368" s="185"/>
      <c r="I368" s="185"/>
      <c r="K368" s="141" t="str">
        <f t="shared" si="31"/>
        <v/>
      </c>
      <c r="L368" s="141" t="str">
        <f t="shared" si="32"/>
        <v/>
      </c>
    </row>
    <row r="369" spans="1:12">
      <c r="A369" s="139" t="str">
        <f>IF(E369="","",VLOOKUP('Opći dio'!$C$3,'Opći dio'!$L$6:$U$136,10,FALSE))</f>
        <v/>
      </c>
      <c r="B369" s="139" t="str">
        <f>IF(E369="","",VLOOKUP('Opći dio'!$C$3,'Opći dio'!$L$6:$U$136,9,FALSE))</f>
        <v/>
      </c>
      <c r="C369" s="187" t="str">
        <f t="shared" si="28"/>
        <v/>
      </c>
      <c r="D369" s="138" t="str">
        <f t="shared" si="29"/>
        <v/>
      </c>
      <c r="E369" s="150"/>
      <c r="F369" s="191" t="str">
        <f t="shared" si="30"/>
        <v/>
      </c>
      <c r="G369" s="185"/>
      <c r="H369" s="185"/>
      <c r="I369" s="185"/>
      <c r="K369" s="141" t="str">
        <f t="shared" si="31"/>
        <v/>
      </c>
      <c r="L369" s="141" t="str">
        <f t="shared" si="32"/>
        <v/>
      </c>
    </row>
    <row r="370" spans="1:12">
      <c r="A370" s="139" t="str">
        <f>IF(E370="","",VLOOKUP('Opći dio'!$C$3,'Opći dio'!$L$6:$U$136,10,FALSE))</f>
        <v/>
      </c>
      <c r="B370" s="139" t="str">
        <f>IF(E370="","",VLOOKUP('Opći dio'!$C$3,'Opći dio'!$L$6:$U$136,9,FALSE))</f>
        <v/>
      </c>
      <c r="C370" s="187" t="str">
        <f t="shared" si="28"/>
        <v/>
      </c>
      <c r="D370" s="138" t="str">
        <f t="shared" si="29"/>
        <v/>
      </c>
      <c r="E370" s="150"/>
      <c r="F370" s="191" t="str">
        <f t="shared" si="30"/>
        <v/>
      </c>
      <c r="G370" s="185"/>
      <c r="H370" s="185"/>
      <c r="I370" s="185"/>
      <c r="K370" s="141" t="str">
        <f t="shared" si="31"/>
        <v/>
      </c>
      <c r="L370" s="141" t="str">
        <f t="shared" si="32"/>
        <v/>
      </c>
    </row>
    <row r="371" spans="1:12">
      <c r="A371" s="139" t="str">
        <f>IF(E371="","",VLOOKUP('Opći dio'!$C$3,'Opći dio'!$L$6:$U$136,10,FALSE))</f>
        <v/>
      </c>
      <c r="B371" s="139" t="str">
        <f>IF(E371="","",VLOOKUP('Opći dio'!$C$3,'Opći dio'!$L$6:$U$136,9,FALSE))</f>
        <v/>
      </c>
      <c r="C371" s="187" t="str">
        <f t="shared" si="28"/>
        <v/>
      </c>
      <c r="D371" s="138" t="str">
        <f t="shared" si="29"/>
        <v/>
      </c>
      <c r="E371" s="150"/>
      <c r="F371" s="191" t="str">
        <f t="shared" si="30"/>
        <v/>
      </c>
      <c r="G371" s="185"/>
      <c r="H371" s="185"/>
      <c r="I371" s="185"/>
      <c r="K371" s="141" t="str">
        <f t="shared" si="31"/>
        <v/>
      </c>
      <c r="L371" s="141" t="str">
        <f t="shared" si="32"/>
        <v/>
      </c>
    </row>
    <row r="372" spans="1:12">
      <c r="A372" s="139" t="str">
        <f>IF(E372="","",VLOOKUP('Opći dio'!$C$3,'Opći dio'!$L$6:$U$136,10,FALSE))</f>
        <v/>
      </c>
      <c r="B372" s="139" t="str">
        <f>IF(E372="","",VLOOKUP('Opći dio'!$C$3,'Opći dio'!$L$6:$U$136,9,FALSE))</f>
        <v/>
      </c>
      <c r="C372" s="187" t="str">
        <f t="shared" si="28"/>
        <v/>
      </c>
      <c r="D372" s="138" t="str">
        <f t="shared" si="29"/>
        <v/>
      </c>
      <c r="E372" s="150"/>
      <c r="F372" s="191" t="str">
        <f t="shared" si="30"/>
        <v/>
      </c>
      <c r="G372" s="185"/>
      <c r="H372" s="185"/>
      <c r="I372" s="185"/>
      <c r="K372" s="141" t="str">
        <f t="shared" si="31"/>
        <v/>
      </c>
      <c r="L372" s="141" t="str">
        <f t="shared" si="32"/>
        <v/>
      </c>
    </row>
    <row r="373" spans="1:12">
      <c r="A373" s="139" t="str">
        <f>IF(E373="","",VLOOKUP('Opći dio'!$C$3,'Opći dio'!$L$6:$U$136,10,FALSE))</f>
        <v/>
      </c>
      <c r="B373" s="139" t="str">
        <f>IF(E373="","",VLOOKUP('Opći dio'!$C$3,'Opći dio'!$L$6:$U$136,9,FALSE))</f>
        <v/>
      </c>
      <c r="C373" s="187" t="str">
        <f t="shared" si="28"/>
        <v/>
      </c>
      <c r="D373" s="138" t="str">
        <f t="shared" si="29"/>
        <v/>
      </c>
      <c r="E373" s="150"/>
      <c r="F373" s="191" t="str">
        <f t="shared" si="30"/>
        <v/>
      </c>
      <c r="G373" s="185"/>
      <c r="H373" s="185"/>
      <c r="I373" s="185"/>
      <c r="K373" s="141" t="str">
        <f t="shared" si="31"/>
        <v/>
      </c>
      <c r="L373" s="141" t="str">
        <f t="shared" si="32"/>
        <v/>
      </c>
    </row>
    <row r="374" spans="1:12">
      <c r="A374" s="139" t="str">
        <f>IF(E374="","",VLOOKUP('Opći dio'!$C$3,'Opći dio'!$L$6:$U$136,10,FALSE))</f>
        <v/>
      </c>
      <c r="B374" s="139" t="str">
        <f>IF(E374="","",VLOOKUP('Opći dio'!$C$3,'Opći dio'!$L$6:$U$136,9,FALSE))</f>
        <v/>
      </c>
      <c r="C374" s="187" t="str">
        <f t="shared" si="28"/>
        <v/>
      </c>
      <c r="D374" s="138" t="str">
        <f t="shared" si="29"/>
        <v/>
      </c>
      <c r="E374" s="150"/>
      <c r="F374" s="191" t="str">
        <f t="shared" si="30"/>
        <v/>
      </c>
      <c r="G374" s="185"/>
      <c r="H374" s="185"/>
      <c r="I374" s="185"/>
      <c r="K374" s="141" t="str">
        <f t="shared" si="31"/>
        <v/>
      </c>
      <c r="L374" s="141" t="str">
        <f t="shared" si="32"/>
        <v/>
      </c>
    </row>
    <row r="375" spans="1:12">
      <c r="A375" s="139" t="str">
        <f>IF(E375="","",VLOOKUP('Opći dio'!$C$3,'Opći dio'!$L$6:$U$136,10,FALSE))</f>
        <v/>
      </c>
      <c r="B375" s="139" t="str">
        <f>IF(E375="","",VLOOKUP('Opći dio'!$C$3,'Opći dio'!$L$6:$U$136,9,FALSE))</f>
        <v/>
      </c>
      <c r="C375" s="187" t="str">
        <f t="shared" si="28"/>
        <v/>
      </c>
      <c r="D375" s="138" t="str">
        <f t="shared" si="29"/>
        <v/>
      </c>
      <c r="E375" s="150"/>
      <c r="F375" s="191" t="str">
        <f t="shared" si="30"/>
        <v/>
      </c>
      <c r="G375" s="185"/>
      <c r="H375" s="185"/>
      <c r="I375" s="185"/>
      <c r="K375" s="141" t="str">
        <f t="shared" si="31"/>
        <v/>
      </c>
      <c r="L375" s="141" t="str">
        <f t="shared" si="32"/>
        <v/>
      </c>
    </row>
    <row r="376" spans="1:12">
      <c r="A376" s="139" t="str">
        <f>IF(E376="","",VLOOKUP('Opći dio'!$C$3,'Opći dio'!$L$6:$U$136,10,FALSE))</f>
        <v/>
      </c>
      <c r="B376" s="139" t="str">
        <f>IF(E376="","",VLOOKUP('Opći dio'!$C$3,'Opći dio'!$L$6:$U$136,9,FALSE))</f>
        <v/>
      </c>
      <c r="C376" s="187" t="str">
        <f t="shared" si="28"/>
        <v/>
      </c>
      <c r="D376" s="138" t="str">
        <f t="shared" si="29"/>
        <v/>
      </c>
      <c r="E376" s="150"/>
      <c r="F376" s="191" t="str">
        <f t="shared" si="30"/>
        <v/>
      </c>
      <c r="G376" s="185"/>
      <c r="H376" s="185"/>
      <c r="I376" s="185"/>
      <c r="K376" s="141" t="str">
        <f t="shared" si="31"/>
        <v/>
      </c>
      <c r="L376" s="141" t="str">
        <f t="shared" si="32"/>
        <v/>
      </c>
    </row>
    <row r="377" spans="1:12">
      <c r="A377" s="139" t="str">
        <f>IF(E377="","",VLOOKUP('Opći dio'!$C$3,'Opći dio'!$L$6:$U$136,10,FALSE))</f>
        <v/>
      </c>
      <c r="B377" s="139" t="str">
        <f>IF(E377="","",VLOOKUP('Opći dio'!$C$3,'Opći dio'!$L$6:$U$136,9,FALSE))</f>
        <v/>
      </c>
      <c r="C377" s="187" t="str">
        <f t="shared" si="28"/>
        <v/>
      </c>
      <c r="D377" s="138" t="str">
        <f t="shared" si="29"/>
        <v/>
      </c>
      <c r="E377" s="150"/>
      <c r="F377" s="191" t="str">
        <f t="shared" si="30"/>
        <v/>
      </c>
      <c r="G377" s="185"/>
      <c r="H377" s="185"/>
      <c r="I377" s="185"/>
      <c r="K377" s="141" t="str">
        <f t="shared" si="31"/>
        <v/>
      </c>
      <c r="L377" s="141" t="str">
        <f t="shared" si="32"/>
        <v/>
      </c>
    </row>
    <row r="378" spans="1:12">
      <c r="A378" s="139" t="str">
        <f>IF(E378="","",VLOOKUP('Opći dio'!$C$3,'Opći dio'!$L$6:$U$136,10,FALSE))</f>
        <v/>
      </c>
      <c r="B378" s="139" t="str">
        <f>IF(E378="","",VLOOKUP('Opći dio'!$C$3,'Opći dio'!$L$6:$U$136,9,FALSE))</f>
        <v/>
      </c>
      <c r="C378" s="187" t="str">
        <f t="shared" si="28"/>
        <v/>
      </c>
      <c r="D378" s="138" t="str">
        <f t="shared" si="29"/>
        <v/>
      </c>
      <c r="E378" s="150"/>
      <c r="F378" s="191" t="str">
        <f t="shared" si="30"/>
        <v/>
      </c>
      <c r="G378" s="185"/>
      <c r="H378" s="185"/>
      <c r="I378" s="185"/>
      <c r="K378" s="141" t="str">
        <f t="shared" si="31"/>
        <v/>
      </c>
      <c r="L378" s="141" t="str">
        <f t="shared" si="32"/>
        <v/>
      </c>
    </row>
    <row r="379" spans="1:12">
      <c r="A379" s="139" t="str">
        <f>IF(E379="","",VLOOKUP('Opći dio'!$C$3,'Opći dio'!$L$6:$U$136,10,FALSE))</f>
        <v/>
      </c>
      <c r="B379" s="139" t="str">
        <f>IF(E379="","",VLOOKUP('Opći dio'!$C$3,'Opći dio'!$L$6:$U$136,9,FALSE))</f>
        <v/>
      </c>
      <c r="C379" s="187" t="str">
        <f t="shared" si="28"/>
        <v/>
      </c>
      <c r="D379" s="138" t="str">
        <f t="shared" si="29"/>
        <v/>
      </c>
      <c r="E379" s="150"/>
      <c r="F379" s="191" t="str">
        <f t="shared" si="30"/>
        <v/>
      </c>
      <c r="G379" s="185"/>
      <c r="H379" s="185"/>
      <c r="I379" s="185"/>
      <c r="K379" s="141" t="str">
        <f t="shared" si="31"/>
        <v/>
      </c>
      <c r="L379" s="141" t="str">
        <f t="shared" si="32"/>
        <v/>
      </c>
    </row>
    <row r="380" spans="1:12">
      <c r="A380" s="139" t="str">
        <f>IF(E380="","",VLOOKUP('Opći dio'!$C$3,'Opći dio'!$L$6:$U$136,10,FALSE))</f>
        <v/>
      </c>
      <c r="B380" s="139" t="str">
        <f>IF(E380="","",VLOOKUP('Opći dio'!$C$3,'Opći dio'!$L$6:$U$136,9,FALSE))</f>
        <v/>
      </c>
      <c r="C380" s="187" t="str">
        <f t="shared" si="28"/>
        <v/>
      </c>
      <c r="D380" s="138" t="str">
        <f t="shared" si="29"/>
        <v/>
      </c>
      <c r="E380" s="150"/>
      <c r="F380" s="191" t="str">
        <f t="shared" si="30"/>
        <v/>
      </c>
      <c r="G380" s="185"/>
      <c r="H380" s="185"/>
      <c r="I380" s="185"/>
      <c r="K380" s="141" t="str">
        <f t="shared" si="31"/>
        <v/>
      </c>
      <c r="L380" s="141" t="str">
        <f t="shared" si="32"/>
        <v/>
      </c>
    </row>
    <row r="381" spans="1:12">
      <c r="A381" s="139" t="str">
        <f>IF(E381="","",VLOOKUP('Opći dio'!$C$3,'Opći dio'!$L$6:$U$136,10,FALSE))</f>
        <v/>
      </c>
      <c r="B381" s="139" t="str">
        <f>IF(E381="","",VLOOKUP('Opći dio'!$C$3,'Opći dio'!$L$6:$U$136,9,FALSE))</f>
        <v/>
      </c>
      <c r="C381" s="187" t="str">
        <f t="shared" si="28"/>
        <v/>
      </c>
      <c r="D381" s="138" t="str">
        <f t="shared" si="29"/>
        <v/>
      </c>
      <c r="E381" s="150"/>
      <c r="F381" s="191" t="str">
        <f t="shared" si="30"/>
        <v/>
      </c>
      <c r="G381" s="185"/>
      <c r="H381" s="185"/>
      <c r="I381" s="185"/>
      <c r="K381" s="141" t="str">
        <f t="shared" si="31"/>
        <v/>
      </c>
      <c r="L381" s="141" t="str">
        <f t="shared" si="32"/>
        <v/>
      </c>
    </row>
    <row r="382" spans="1:12">
      <c r="A382" s="139" t="str">
        <f>IF(E382="","",VLOOKUP('Opći dio'!$C$3,'Opći dio'!$L$6:$U$136,10,FALSE))</f>
        <v/>
      </c>
      <c r="B382" s="139" t="str">
        <f>IF(E382="","",VLOOKUP('Opći dio'!$C$3,'Opći dio'!$L$6:$U$136,9,FALSE))</f>
        <v/>
      </c>
      <c r="C382" s="187" t="str">
        <f t="shared" si="28"/>
        <v/>
      </c>
      <c r="D382" s="138" t="str">
        <f t="shared" si="29"/>
        <v/>
      </c>
      <c r="E382" s="150"/>
      <c r="F382" s="191" t="str">
        <f t="shared" si="30"/>
        <v/>
      </c>
      <c r="G382" s="185"/>
      <c r="H382" s="185"/>
      <c r="I382" s="185"/>
      <c r="K382" s="141" t="str">
        <f t="shared" si="31"/>
        <v/>
      </c>
      <c r="L382" s="141" t="str">
        <f t="shared" si="32"/>
        <v/>
      </c>
    </row>
    <row r="383" spans="1:12">
      <c r="A383" s="139" t="str">
        <f>IF(E383="","",VLOOKUP('Opći dio'!$C$3,'Opći dio'!$L$6:$U$136,10,FALSE))</f>
        <v/>
      </c>
      <c r="B383" s="139" t="str">
        <f>IF(E383="","",VLOOKUP('Opći dio'!$C$3,'Opći dio'!$L$6:$U$136,9,FALSE))</f>
        <v/>
      </c>
      <c r="C383" s="187" t="str">
        <f t="shared" si="28"/>
        <v/>
      </c>
      <c r="D383" s="138" t="str">
        <f t="shared" si="29"/>
        <v/>
      </c>
      <c r="E383" s="150"/>
      <c r="F383" s="191" t="str">
        <f t="shared" si="30"/>
        <v/>
      </c>
      <c r="G383" s="185"/>
      <c r="H383" s="185"/>
      <c r="I383" s="185"/>
      <c r="K383" s="141" t="str">
        <f t="shared" si="31"/>
        <v/>
      </c>
      <c r="L383" s="141" t="str">
        <f t="shared" si="32"/>
        <v/>
      </c>
    </row>
    <row r="384" spans="1:12">
      <c r="A384" s="139" t="str">
        <f>IF(E384="","",VLOOKUP('Opći dio'!$C$3,'Opći dio'!$L$6:$U$136,10,FALSE))</f>
        <v/>
      </c>
      <c r="B384" s="139" t="str">
        <f>IF(E384="","",VLOOKUP('Opći dio'!$C$3,'Opći dio'!$L$6:$U$136,9,FALSE))</f>
        <v/>
      </c>
      <c r="C384" s="187" t="str">
        <f t="shared" si="28"/>
        <v/>
      </c>
      <c r="D384" s="138" t="str">
        <f t="shared" si="29"/>
        <v/>
      </c>
      <c r="E384" s="150"/>
      <c r="F384" s="191" t="str">
        <f t="shared" si="30"/>
        <v/>
      </c>
      <c r="G384" s="185"/>
      <c r="H384" s="185"/>
      <c r="I384" s="185"/>
      <c r="K384" s="141" t="str">
        <f t="shared" si="31"/>
        <v/>
      </c>
      <c r="L384" s="141" t="str">
        <f t="shared" si="32"/>
        <v/>
      </c>
    </row>
    <row r="385" spans="1:12">
      <c r="A385" s="139" t="str">
        <f>IF(E385="","",VLOOKUP('Opći dio'!$C$3,'Opći dio'!$L$6:$U$136,10,FALSE))</f>
        <v/>
      </c>
      <c r="B385" s="139" t="str">
        <f>IF(E385="","",VLOOKUP('Opći dio'!$C$3,'Opći dio'!$L$6:$U$136,9,FALSE))</f>
        <v/>
      </c>
      <c r="C385" s="187" t="str">
        <f t="shared" si="28"/>
        <v/>
      </c>
      <c r="D385" s="138" t="str">
        <f t="shared" si="29"/>
        <v/>
      </c>
      <c r="E385" s="150"/>
      <c r="F385" s="191" t="str">
        <f t="shared" si="30"/>
        <v/>
      </c>
      <c r="G385" s="185"/>
      <c r="H385" s="185"/>
      <c r="I385" s="185"/>
      <c r="K385" s="141" t="str">
        <f t="shared" si="31"/>
        <v/>
      </c>
      <c r="L385" s="141" t="str">
        <f t="shared" si="32"/>
        <v/>
      </c>
    </row>
    <row r="386" spans="1:12">
      <c r="A386" s="139" t="str">
        <f>IF(E386="","",VLOOKUP('Opći dio'!$C$3,'Opći dio'!$L$6:$U$136,10,FALSE))</f>
        <v/>
      </c>
      <c r="B386" s="139" t="str">
        <f>IF(E386="","",VLOOKUP('Opći dio'!$C$3,'Opći dio'!$L$6:$U$136,9,FALSE))</f>
        <v/>
      </c>
      <c r="C386" s="187" t="str">
        <f t="shared" si="28"/>
        <v/>
      </c>
      <c r="D386" s="138" t="str">
        <f t="shared" si="29"/>
        <v/>
      </c>
      <c r="E386" s="150"/>
      <c r="F386" s="191" t="str">
        <f t="shared" si="30"/>
        <v/>
      </c>
      <c r="G386" s="185"/>
      <c r="H386" s="185"/>
      <c r="I386" s="185"/>
      <c r="K386" s="141" t="str">
        <f t="shared" si="31"/>
        <v/>
      </c>
      <c r="L386" s="141" t="str">
        <f t="shared" si="32"/>
        <v/>
      </c>
    </row>
    <row r="387" spans="1:12">
      <c r="A387" s="139" t="str">
        <f>IF(E387="","",VLOOKUP('Opći dio'!$C$3,'Opći dio'!$L$6:$U$136,10,FALSE))</f>
        <v/>
      </c>
      <c r="B387" s="139" t="str">
        <f>IF(E387="","",VLOOKUP('Opći dio'!$C$3,'Opći dio'!$L$6:$U$136,9,FALSE))</f>
        <v/>
      </c>
      <c r="C387" s="187" t="str">
        <f t="shared" si="28"/>
        <v/>
      </c>
      <c r="D387" s="138" t="str">
        <f t="shared" si="29"/>
        <v/>
      </c>
      <c r="E387" s="150"/>
      <c r="F387" s="191" t="str">
        <f t="shared" si="30"/>
        <v/>
      </c>
      <c r="G387" s="185"/>
      <c r="H387" s="185"/>
      <c r="I387" s="185"/>
      <c r="K387" s="141" t="str">
        <f t="shared" si="31"/>
        <v/>
      </c>
      <c r="L387" s="141" t="str">
        <f t="shared" si="32"/>
        <v/>
      </c>
    </row>
    <row r="388" spans="1:12">
      <c r="A388" s="139" t="str">
        <f>IF(E388="","",VLOOKUP('Opći dio'!$C$3,'Opći dio'!$L$6:$U$136,10,FALSE))</f>
        <v/>
      </c>
      <c r="B388" s="139" t="str">
        <f>IF(E388="","",VLOOKUP('Opći dio'!$C$3,'Opći dio'!$L$6:$U$136,9,FALSE))</f>
        <v/>
      </c>
      <c r="C388" s="187" t="str">
        <f t="shared" ref="C388:C451" si="33">IFERROR(VLOOKUP(E388,$Q$6:$T$200,3,FALSE),"")</f>
        <v/>
      </c>
      <c r="D388" s="138" t="str">
        <f t="shared" ref="D388:D451" si="34">IFERROR(VLOOKUP(E388,$Q$6:$T$200,4,FALSE),"")</f>
        <v/>
      </c>
      <c r="E388" s="150"/>
      <c r="F388" s="191" t="str">
        <f t="shared" ref="F388:F451" si="35">IFERROR(VLOOKUP(E388,$Q$6:$T$200,2,FALSE),"")</f>
        <v/>
      </c>
      <c r="G388" s="185"/>
      <c r="H388" s="185"/>
      <c r="I388" s="185"/>
      <c r="K388" s="141" t="str">
        <f t="shared" ref="K388:K451" si="36">LEFT(E388,3)</f>
        <v/>
      </c>
      <c r="L388" s="141" t="str">
        <f t="shared" ref="L388:L451" si="37">LEFT(E388,2)</f>
        <v/>
      </c>
    </row>
    <row r="389" spans="1:12">
      <c r="A389" s="139" t="str">
        <f>IF(E389="","",VLOOKUP('Opći dio'!$C$3,'Opći dio'!$L$6:$U$136,10,FALSE))</f>
        <v/>
      </c>
      <c r="B389" s="139" t="str">
        <f>IF(E389="","",VLOOKUP('Opći dio'!$C$3,'Opći dio'!$L$6:$U$136,9,FALSE))</f>
        <v/>
      </c>
      <c r="C389" s="187" t="str">
        <f t="shared" si="33"/>
        <v/>
      </c>
      <c r="D389" s="138" t="str">
        <f t="shared" si="34"/>
        <v/>
      </c>
      <c r="E389" s="150"/>
      <c r="F389" s="191" t="str">
        <f t="shared" si="35"/>
        <v/>
      </c>
      <c r="G389" s="185"/>
      <c r="H389" s="185"/>
      <c r="I389" s="185"/>
      <c r="K389" s="141" t="str">
        <f t="shared" si="36"/>
        <v/>
      </c>
      <c r="L389" s="141" t="str">
        <f t="shared" si="37"/>
        <v/>
      </c>
    </row>
    <row r="390" spans="1:12">
      <c r="A390" s="139" t="str">
        <f>IF(E390="","",VLOOKUP('Opći dio'!$C$3,'Opći dio'!$L$6:$U$136,10,FALSE))</f>
        <v/>
      </c>
      <c r="B390" s="139" t="str">
        <f>IF(E390="","",VLOOKUP('Opći dio'!$C$3,'Opći dio'!$L$6:$U$136,9,FALSE))</f>
        <v/>
      </c>
      <c r="C390" s="187" t="str">
        <f t="shared" si="33"/>
        <v/>
      </c>
      <c r="D390" s="138" t="str">
        <f t="shared" si="34"/>
        <v/>
      </c>
      <c r="E390" s="150"/>
      <c r="F390" s="191" t="str">
        <f t="shared" si="35"/>
        <v/>
      </c>
      <c r="G390" s="185"/>
      <c r="H390" s="185"/>
      <c r="I390" s="185"/>
      <c r="K390" s="141" t="str">
        <f t="shared" si="36"/>
        <v/>
      </c>
      <c r="L390" s="141" t="str">
        <f t="shared" si="37"/>
        <v/>
      </c>
    </row>
    <row r="391" spans="1:12">
      <c r="A391" s="139" t="str">
        <f>IF(E391="","",VLOOKUP('Opći dio'!$C$3,'Opći dio'!$L$6:$U$136,10,FALSE))</f>
        <v/>
      </c>
      <c r="B391" s="139" t="str">
        <f>IF(E391="","",VLOOKUP('Opći dio'!$C$3,'Opći dio'!$L$6:$U$136,9,FALSE))</f>
        <v/>
      </c>
      <c r="C391" s="187" t="str">
        <f t="shared" si="33"/>
        <v/>
      </c>
      <c r="D391" s="138" t="str">
        <f t="shared" si="34"/>
        <v/>
      </c>
      <c r="E391" s="150"/>
      <c r="F391" s="191" t="str">
        <f t="shared" si="35"/>
        <v/>
      </c>
      <c r="G391" s="185"/>
      <c r="H391" s="185"/>
      <c r="I391" s="185"/>
      <c r="K391" s="141" t="str">
        <f t="shared" si="36"/>
        <v/>
      </c>
      <c r="L391" s="141" t="str">
        <f t="shared" si="37"/>
        <v/>
      </c>
    </row>
    <row r="392" spans="1:12">
      <c r="A392" s="139" t="str">
        <f>IF(E392="","",VLOOKUP('Opći dio'!$C$3,'Opći dio'!$L$6:$U$136,10,FALSE))</f>
        <v/>
      </c>
      <c r="B392" s="139" t="str">
        <f>IF(E392="","",VLOOKUP('Opći dio'!$C$3,'Opći dio'!$L$6:$U$136,9,FALSE))</f>
        <v/>
      </c>
      <c r="C392" s="187" t="str">
        <f t="shared" si="33"/>
        <v/>
      </c>
      <c r="D392" s="138" t="str">
        <f t="shared" si="34"/>
        <v/>
      </c>
      <c r="E392" s="150"/>
      <c r="F392" s="191" t="str">
        <f t="shared" si="35"/>
        <v/>
      </c>
      <c r="G392" s="185"/>
      <c r="H392" s="185"/>
      <c r="I392" s="185"/>
      <c r="K392" s="141" t="str">
        <f t="shared" si="36"/>
        <v/>
      </c>
      <c r="L392" s="141" t="str">
        <f t="shared" si="37"/>
        <v/>
      </c>
    </row>
    <row r="393" spans="1:12">
      <c r="A393" s="139" t="str">
        <f>IF(E393="","",VLOOKUP('Opći dio'!$C$3,'Opći dio'!$L$6:$U$136,10,FALSE))</f>
        <v/>
      </c>
      <c r="B393" s="139" t="str">
        <f>IF(E393="","",VLOOKUP('Opći dio'!$C$3,'Opći dio'!$L$6:$U$136,9,FALSE))</f>
        <v/>
      </c>
      <c r="C393" s="187" t="str">
        <f t="shared" si="33"/>
        <v/>
      </c>
      <c r="D393" s="138" t="str">
        <f t="shared" si="34"/>
        <v/>
      </c>
      <c r="E393" s="150"/>
      <c r="F393" s="191" t="str">
        <f t="shared" si="35"/>
        <v/>
      </c>
      <c r="G393" s="185"/>
      <c r="H393" s="185"/>
      <c r="I393" s="185"/>
      <c r="K393" s="141" t="str">
        <f t="shared" si="36"/>
        <v/>
      </c>
      <c r="L393" s="141" t="str">
        <f t="shared" si="37"/>
        <v/>
      </c>
    </row>
    <row r="394" spans="1:12">
      <c r="A394" s="139" t="str">
        <f>IF(E394="","",VLOOKUP('Opći dio'!$C$3,'Opći dio'!$L$6:$U$136,10,FALSE))</f>
        <v/>
      </c>
      <c r="B394" s="139" t="str">
        <f>IF(E394="","",VLOOKUP('Opći dio'!$C$3,'Opći dio'!$L$6:$U$136,9,FALSE))</f>
        <v/>
      </c>
      <c r="C394" s="187" t="str">
        <f t="shared" si="33"/>
        <v/>
      </c>
      <c r="D394" s="138" t="str">
        <f t="shared" si="34"/>
        <v/>
      </c>
      <c r="E394" s="150"/>
      <c r="F394" s="191" t="str">
        <f t="shared" si="35"/>
        <v/>
      </c>
      <c r="G394" s="185"/>
      <c r="H394" s="185"/>
      <c r="I394" s="185"/>
      <c r="K394" s="141" t="str">
        <f t="shared" si="36"/>
        <v/>
      </c>
      <c r="L394" s="141" t="str">
        <f t="shared" si="37"/>
        <v/>
      </c>
    </row>
    <row r="395" spans="1:12">
      <c r="A395" s="139" t="str">
        <f>IF(E395="","",VLOOKUP('Opći dio'!$C$3,'Opći dio'!$L$6:$U$136,10,FALSE))</f>
        <v/>
      </c>
      <c r="B395" s="139" t="str">
        <f>IF(E395="","",VLOOKUP('Opći dio'!$C$3,'Opći dio'!$L$6:$U$136,9,FALSE))</f>
        <v/>
      </c>
      <c r="C395" s="187" t="str">
        <f t="shared" si="33"/>
        <v/>
      </c>
      <c r="D395" s="138" t="str">
        <f t="shared" si="34"/>
        <v/>
      </c>
      <c r="E395" s="150"/>
      <c r="F395" s="191" t="str">
        <f t="shared" si="35"/>
        <v/>
      </c>
      <c r="G395" s="185"/>
      <c r="H395" s="185"/>
      <c r="I395" s="185"/>
      <c r="K395" s="141" t="str">
        <f t="shared" si="36"/>
        <v/>
      </c>
      <c r="L395" s="141" t="str">
        <f t="shared" si="37"/>
        <v/>
      </c>
    </row>
    <row r="396" spans="1:12">
      <c r="A396" s="139" t="str">
        <f>IF(E396="","",VLOOKUP('Opći dio'!$C$3,'Opći dio'!$L$6:$U$136,10,FALSE))</f>
        <v/>
      </c>
      <c r="B396" s="139" t="str">
        <f>IF(E396="","",VLOOKUP('Opći dio'!$C$3,'Opći dio'!$L$6:$U$136,9,FALSE))</f>
        <v/>
      </c>
      <c r="C396" s="187" t="str">
        <f t="shared" si="33"/>
        <v/>
      </c>
      <c r="D396" s="138" t="str">
        <f t="shared" si="34"/>
        <v/>
      </c>
      <c r="E396" s="150"/>
      <c r="F396" s="191" t="str">
        <f t="shared" si="35"/>
        <v/>
      </c>
      <c r="G396" s="185"/>
      <c r="H396" s="185"/>
      <c r="I396" s="185"/>
      <c r="K396" s="141" t="str">
        <f t="shared" si="36"/>
        <v/>
      </c>
      <c r="L396" s="141" t="str">
        <f t="shared" si="37"/>
        <v/>
      </c>
    </row>
    <row r="397" spans="1:12">
      <c r="A397" s="139" t="str">
        <f>IF(E397="","",VLOOKUP('Opći dio'!$C$3,'Opći dio'!$L$6:$U$136,10,FALSE))</f>
        <v/>
      </c>
      <c r="B397" s="139" t="str">
        <f>IF(E397="","",VLOOKUP('Opći dio'!$C$3,'Opći dio'!$L$6:$U$136,9,FALSE))</f>
        <v/>
      </c>
      <c r="C397" s="187" t="str">
        <f t="shared" si="33"/>
        <v/>
      </c>
      <c r="D397" s="138" t="str">
        <f t="shared" si="34"/>
        <v/>
      </c>
      <c r="E397" s="150"/>
      <c r="F397" s="191" t="str">
        <f t="shared" si="35"/>
        <v/>
      </c>
      <c r="G397" s="185"/>
      <c r="H397" s="185"/>
      <c r="I397" s="185"/>
      <c r="K397" s="141" t="str">
        <f t="shared" si="36"/>
        <v/>
      </c>
      <c r="L397" s="141" t="str">
        <f t="shared" si="37"/>
        <v/>
      </c>
    </row>
    <row r="398" spans="1:12">
      <c r="A398" s="139" t="str">
        <f>IF(E398="","",VLOOKUP('Opći dio'!$C$3,'Opći dio'!$L$6:$U$136,10,FALSE))</f>
        <v/>
      </c>
      <c r="B398" s="139" t="str">
        <f>IF(E398="","",VLOOKUP('Opći dio'!$C$3,'Opći dio'!$L$6:$U$136,9,FALSE))</f>
        <v/>
      </c>
      <c r="C398" s="187" t="str">
        <f t="shared" si="33"/>
        <v/>
      </c>
      <c r="D398" s="138" t="str">
        <f t="shared" si="34"/>
        <v/>
      </c>
      <c r="E398" s="150"/>
      <c r="F398" s="191" t="str">
        <f t="shared" si="35"/>
        <v/>
      </c>
      <c r="G398" s="185"/>
      <c r="H398" s="185"/>
      <c r="I398" s="185"/>
      <c r="K398" s="141" t="str">
        <f t="shared" si="36"/>
        <v/>
      </c>
      <c r="L398" s="141" t="str">
        <f t="shared" si="37"/>
        <v/>
      </c>
    </row>
    <row r="399" spans="1:12">
      <c r="A399" s="139" t="str">
        <f>IF(E399="","",VLOOKUP('Opći dio'!$C$3,'Opći dio'!$L$6:$U$136,10,FALSE))</f>
        <v/>
      </c>
      <c r="B399" s="139" t="str">
        <f>IF(E399="","",VLOOKUP('Opći dio'!$C$3,'Opći dio'!$L$6:$U$136,9,FALSE))</f>
        <v/>
      </c>
      <c r="C399" s="187" t="str">
        <f t="shared" si="33"/>
        <v/>
      </c>
      <c r="D399" s="138" t="str">
        <f t="shared" si="34"/>
        <v/>
      </c>
      <c r="E399" s="150"/>
      <c r="F399" s="191" t="str">
        <f t="shared" si="35"/>
        <v/>
      </c>
      <c r="G399" s="185"/>
      <c r="H399" s="185"/>
      <c r="I399" s="185"/>
      <c r="K399" s="141" t="str">
        <f t="shared" si="36"/>
        <v/>
      </c>
      <c r="L399" s="141" t="str">
        <f t="shared" si="37"/>
        <v/>
      </c>
    </row>
    <row r="400" spans="1:12">
      <c r="A400" s="139" t="str">
        <f>IF(E400="","",VLOOKUP('Opći dio'!$C$3,'Opći dio'!$L$6:$U$136,10,FALSE))</f>
        <v/>
      </c>
      <c r="B400" s="139" t="str">
        <f>IF(E400="","",VLOOKUP('Opći dio'!$C$3,'Opći dio'!$L$6:$U$136,9,FALSE))</f>
        <v/>
      </c>
      <c r="C400" s="187" t="str">
        <f t="shared" si="33"/>
        <v/>
      </c>
      <c r="D400" s="138" t="str">
        <f t="shared" si="34"/>
        <v/>
      </c>
      <c r="E400" s="150"/>
      <c r="F400" s="191" t="str">
        <f t="shared" si="35"/>
        <v/>
      </c>
      <c r="G400" s="185"/>
      <c r="H400" s="185"/>
      <c r="I400" s="185"/>
      <c r="K400" s="141" t="str">
        <f t="shared" si="36"/>
        <v/>
      </c>
      <c r="L400" s="141" t="str">
        <f t="shared" si="37"/>
        <v/>
      </c>
    </row>
    <row r="401" spans="1:12">
      <c r="A401" s="139" t="str">
        <f>IF(E401="","",VLOOKUP('Opći dio'!$C$3,'Opći dio'!$L$6:$U$136,10,FALSE))</f>
        <v/>
      </c>
      <c r="B401" s="139" t="str">
        <f>IF(E401="","",VLOOKUP('Opći dio'!$C$3,'Opći dio'!$L$6:$U$136,9,FALSE))</f>
        <v/>
      </c>
      <c r="C401" s="187" t="str">
        <f t="shared" si="33"/>
        <v/>
      </c>
      <c r="D401" s="138" t="str">
        <f t="shared" si="34"/>
        <v/>
      </c>
      <c r="E401" s="150"/>
      <c r="F401" s="191" t="str">
        <f t="shared" si="35"/>
        <v/>
      </c>
      <c r="G401" s="185"/>
      <c r="H401" s="185"/>
      <c r="I401" s="185"/>
      <c r="K401" s="141" t="str">
        <f t="shared" si="36"/>
        <v/>
      </c>
      <c r="L401" s="141" t="str">
        <f t="shared" si="37"/>
        <v/>
      </c>
    </row>
    <row r="402" spans="1:12">
      <c r="A402" s="139" t="str">
        <f>IF(E402="","",VLOOKUP('Opći dio'!$C$3,'Opći dio'!$L$6:$U$136,10,FALSE))</f>
        <v/>
      </c>
      <c r="B402" s="139" t="str">
        <f>IF(E402="","",VLOOKUP('Opći dio'!$C$3,'Opći dio'!$L$6:$U$136,9,FALSE))</f>
        <v/>
      </c>
      <c r="C402" s="187" t="str">
        <f t="shared" si="33"/>
        <v/>
      </c>
      <c r="D402" s="138" t="str">
        <f t="shared" si="34"/>
        <v/>
      </c>
      <c r="E402" s="150"/>
      <c r="F402" s="191" t="str">
        <f t="shared" si="35"/>
        <v/>
      </c>
      <c r="G402" s="185"/>
      <c r="H402" s="185"/>
      <c r="I402" s="185"/>
      <c r="K402" s="141" t="str">
        <f t="shared" si="36"/>
        <v/>
      </c>
      <c r="L402" s="141" t="str">
        <f t="shared" si="37"/>
        <v/>
      </c>
    </row>
    <row r="403" spans="1:12">
      <c r="A403" s="139" t="str">
        <f>IF(E403="","",VLOOKUP('Opći dio'!$C$3,'Opći dio'!$L$6:$U$136,10,FALSE))</f>
        <v/>
      </c>
      <c r="B403" s="139" t="str">
        <f>IF(E403="","",VLOOKUP('Opći dio'!$C$3,'Opći dio'!$L$6:$U$136,9,FALSE))</f>
        <v/>
      </c>
      <c r="C403" s="187" t="str">
        <f t="shared" si="33"/>
        <v/>
      </c>
      <c r="D403" s="138" t="str">
        <f t="shared" si="34"/>
        <v/>
      </c>
      <c r="E403" s="150"/>
      <c r="F403" s="191" t="str">
        <f t="shared" si="35"/>
        <v/>
      </c>
      <c r="G403" s="185"/>
      <c r="H403" s="185"/>
      <c r="I403" s="185"/>
      <c r="K403" s="141" t="str">
        <f t="shared" si="36"/>
        <v/>
      </c>
      <c r="L403" s="141" t="str">
        <f t="shared" si="37"/>
        <v/>
      </c>
    </row>
    <row r="404" spans="1:12">
      <c r="A404" s="139" t="str">
        <f>IF(E404="","",VLOOKUP('Opći dio'!$C$3,'Opći dio'!$L$6:$U$136,10,FALSE))</f>
        <v/>
      </c>
      <c r="B404" s="139" t="str">
        <f>IF(E404="","",VLOOKUP('Opći dio'!$C$3,'Opći dio'!$L$6:$U$136,9,FALSE))</f>
        <v/>
      </c>
      <c r="C404" s="187" t="str">
        <f t="shared" si="33"/>
        <v/>
      </c>
      <c r="D404" s="138" t="str">
        <f t="shared" si="34"/>
        <v/>
      </c>
      <c r="E404" s="150"/>
      <c r="F404" s="191" t="str">
        <f t="shared" si="35"/>
        <v/>
      </c>
      <c r="G404" s="185"/>
      <c r="H404" s="185"/>
      <c r="I404" s="185"/>
      <c r="K404" s="141" t="str">
        <f t="shared" si="36"/>
        <v/>
      </c>
      <c r="L404" s="141" t="str">
        <f t="shared" si="37"/>
        <v/>
      </c>
    </row>
    <row r="405" spans="1:12">
      <c r="A405" s="139" t="str">
        <f>IF(E405="","",VLOOKUP('Opći dio'!$C$3,'Opći dio'!$L$6:$U$136,10,FALSE))</f>
        <v/>
      </c>
      <c r="B405" s="139" t="str">
        <f>IF(E405="","",VLOOKUP('Opći dio'!$C$3,'Opći dio'!$L$6:$U$136,9,FALSE))</f>
        <v/>
      </c>
      <c r="C405" s="187" t="str">
        <f t="shared" si="33"/>
        <v/>
      </c>
      <c r="D405" s="138" t="str">
        <f t="shared" si="34"/>
        <v/>
      </c>
      <c r="E405" s="150"/>
      <c r="F405" s="191" t="str">
        <f t="shared" si="35"/>
        <v/>
      </c>
      <c r="G405" s="185"/>
      <c r="H405" s="185"/>
      <c r="I405" s="185"/>
      <c r="K405" s="141" t="str">
        <f t="shared" si="36"/>
        <v/>
      </c>
      <c r="L405" s="141" t="str">
        <f t="shared" si="37"/>
        <v/>
      </c>
    </row>
    <row r="406" spans="1:12">
      <c r="A406" s="139" t="str">
        <f>IF(E406="","",VLOOKUP('Opći dio'!$C$3,'Opći dio'!$L$6:$U$136,10,FALSE))</f>
        <v/>
      </c>
      <c r="B406" s="139" t="str">
        <f>IF(E406="","",VLOOKUP('Opći dio'!$C$3,'Opći dio'!$L$6:$U$136,9,FALSE))</f>
        <v/>
      </c>
      <c r="C406" s="187" t="str">
        <f t="shared" si="33"/>
        <v/>
      </c>
      <c r="D406" s="138" t="str">
        <f t="shared" si="34"/>
        <v/>
      </c>
      <c r="E406" s="150"/>
      <c r="F406" s="191" t="str">
        <f t="shared" si="35"/>
        <v/>
      </c>
      <c r="G406" s="185"/>
      <c r="H406" s="185"/>
      <c r="I406" s="185"/>
      <c r="K406" s="141" t="str">
        <f t="shared" si="36"/>
        <v/>
      </c>
      <c r="L406" s="141" t="str">
        <f t="shared" si="37"/>
        <v/>
      </c>
    </row>
    <row r="407" spans="1:12">
      <c r="A407" s="139" t="str">
        <f>IF(E407="","",VLOOKUP('Opći dio'!$C$3,'Opći dio'!$L$6:$U$136,10,FALSE))</f>
        <v/>
      </c>
      <c r="B407" s="139" t="str">
        <f>IF(E407="","",VLOOKUP('Opći dio'!$C$3,'Opći dio'!$L$6:$U$136,9,FALSE))</f>
        <v/>
      </c>
      <c r="C407" s="187" t="str">
        <f t="shared" si="33"/>
        <v/>
      </c>
      <c r="D407" s="138" t="str">
        <f t="shared" si="34"/>
        <v/>
      </c>
      <c r="E407" s="150"/>
      <c r="F407" s="191" t="str">
        <f t="shared" si="35"/>
        <v/>
      </c>
      <c r="G407" s="185"/>
      <c r="H407" s="185"/>
      <c r="I407" s="185"/>
      <c r="K407" s="141" t="str">
        <f t="shared" si="36"/>
        <v/>
      </c>
      <c r="L407" s="141" t="str">
        <f t="shared" si="37"/>
        <v/>
      </c>
    </row>
    <row r="408" spans="1:12">
      <c r="A408" s="139" t="str">
        <f>IF(E408="","",VLOOKUP('Opći dio'!$C$3,'Opći dio'!$L$6:$U$136,10,FALSE))</f>
        <v/>
      </c>
      <c r="B408" s="139" t="str">
        <f>IF(E408="","",VLOOKUP('Opći dio'!$C$3,'Opći dio'!$L$6:$U$136,9,FALSE))</f>
        <v/>
      </c>
      <c r="C408" s="187" t="str">
        <f t="shared" si="33"/>
        <v/>
      </c>
      <c r="D408" s="138" t="str">
        <f t="shared" si="34"/>
        <v/>
      </c>
      <c r="E408" s="150"/>
      <c r="F408" s="191" t="str">
        <f t="shared" si="35"/>
        <v/>
      </c>
      <c r="G408" s="185"/>
      <c r="H408" s="185"/>
      <c r="I408" s="185"/>
      <c r="K408" s="141" t="str">
        <f t="shared" si="36"/>
        <v/>
      </c>
      <c r="L408" s="141" t="str">
        <f t="shared" si="37"/>
        <v/>
      </c>
    </row>
    <row r="409" spans="1:12">
      <c r="A409" s="139" t="str">
        <f>IF(E409="","",VLOOKUP('Opći dio'!$C$3,'Opći dio'!$L$6:$U$136,10,FALSE))</f>
        <v/>
      </c>
      <c r="B409" s="139" t="str">
        <f>IF(E409="","",VLOOKUP('Opći dio'!$C$3,'Opći dio'!$L$6:$U$136,9,FALSE))</f>
        <v/>
      </c>
      <c r="C409" s="187" t="str">
        <f t="shared" si="33"/>
        <v/>
      </c>
      <c r="D409" s="138" t="str">
        <f t="shared" si="34"/>
        <v/>
      </c>
      <c r="E409" s="150"/>
      <c r="F409" s="191" t="str">
        <f t="shared" si="35"/>
        <v/>
      </c>
      <c r="G409" s="185"/>
      <c r="H409" s="185"/>
      <c r="I409" s="185"/>
      <c r="K409" s="141" t="str">
        <f t="shared" si="36"/>
        <v/>
      </c>
      <c r="L409" s="141" t="str">
        <f t="shared" si="37"/>
        <v/>
      </c>
    </row>
    <row r="410" spans="1:12">
      <c r="A410" s="139" t="str">
        <f>IF(E410="","",VLOOKUP('Opći dio'!$C$3,'Opći dio'!$L$6:$U$136,10,FALSE))</f>
        <v/>
      </c>
      <c r="B410" s="139" t="str">
        <f>IF(E410="","",VLOOKUP('Opći dio'!$C$3,'Opći dio'!$L$6:$U$136,9,FALSE))</f>
        <v/>
      </c>
      <c r="C410" s="187" t="str">
        <f t="shared" si="33"/>
        <v/>
      </c>
      <c r="D410" s="138" t="str">
        <f t="shared" si="34"/>
        <v/>
      </c>
      <c r="E410" s="150"/>
      <c r="F410" s="191" t="str">
        <f t="shared" si="35"/>
        <v/>
      </c>
      <c r="G410" s="185"/>
      <c r="H410" s="185"/>
      <c r="I410" s="185"/>
      <c r="K410" s="141" t="str">
        <f t="shared" si="36"/>
        <v/>
      </c>
      <c r="L410" s="141" t="str">
        <f t="shared" si="37"/>
        <v/>
      </c>
    </row>
    <row r="411" spans="1:12">
      <c r="A411" s="139" t="str">
        <f>IF(E411="","",VLOOKUP('Opći dio'!$C$3,'Opći dio'!$L$6:$U$136,10,FALSE))</f>
        <v/>
      </c>
      <c r="B411" s="139" t="str">
        <f>IF(E411="","",VLOOKUP('Opći dio'!$C$3,'Opći dio'!$L$6:$U$136,9,FALSE))</f>
        <v/>
      </c>
      <c r="C411" s="187" t="str">
        <f t="shared" si="33"/>
        <v/>
      </c>
      <c r="D411" s="138" t="str">
        <f t="shared" si="34"/>
        <v/>
      </c>
      <c r="E411" s="150"/>
      <c r="F411" s="191" t="str">
        <f t="shared" si="35"/>
        <v/>
      </c>
      <c r="G411" s="185"/>
      <c r="H411" s="185"/>
      <c r="I411" s="185"/>
      <c r="K411" s="141" t="str">
        <f t="shared" si="36"/>
        <v/>
      </c>
      <c r="L411" s="141" t="str">
        <f t="shared" si="37"/>
        <v/>
      </c>
    </row>
    <row r="412" spans="1:12">
      <c r="A412" s="139" t="str">
        <f>IF(E412="","",VLOOKUP('Opći dio'!$C$3,'Opći dio'!$L$6:$U$136,10,FALSE))</f>
        <v/>
      </c>
      <c r="B412" s="139" t="str">
        <f>IF(E412="","",VLOOKUP('Opći dio'!$C$3,'Opći dio'!$L$6:$U$136,9,FALSE))</f>
        <v/>
      </c>
      <c r="C412" s="187" t="str">
        <f t="shared" si="33"/>
        <v/>
      </c>
      <c r="D412" s="138" t="str">
        <f t="shared" si="34"/>
        <v/>
      </c>
      <c r="E412" s="150"/>
      <c r="F412" s="191" t="str">
        <f t="shared" si="35"/>
        <v/>
      </c>
      <c r="G412" s="185"/>
      <c r="H412" s="185"/>
      <c r="I412" s="185"/>
      <c r="K412" s="141" t="str">
        <f t="shared" si="36"/>
        <v/>
      </c>
      <c r="L412" s="141" t="str">
        <f t="shared" si="37"/>
        <v/>
      </c>
    </row>
    <row r="413" spans="1:12">
      <c r="A413" s="139" t="str">
        <f>IF(E413="","",VLOOKUP('Opći dio'!$C$3,'Opći dio'!$L$6:$U$136,10,FALSE))</f>
        <v/>
      </c>
      <c r="B413" s="139" t="str">
        <f>IF(E413="","",VLOOKUP('Opći dio'!$C$3,'Opći dio'!$L$6:$U$136,9,FALSE))</f>
        <v/>
      </c>
      <c r="C413" s="187" t="str">
        <f t="shared" si="33"/>
        <v/>
      </c>
      <c r="D413" s="138" t="str">
        <f t="shared" si="34"/>
        <v/>
      </c>
      <c r="E413" s="150"/>
      <c r="F413" s="191" t="str">
        <f t="shared" si="35"/>
        <v/>
      </c>
      <c r="G413" s="185"/>
      <c r="H413" s="185"/>
      <c r="I413" s="185"/>
      <c r="K413" s="141" t="str">
        <f t="shared" si="36"/>
        <v/>
      </c>
      <c r="L413" s="141" t="str">
        <f t="shared" si="37"/>
        <v/>
      </c>
    </row>
    <row r="414" spans="1:12">
      <c r="A414" s="139" t="str">
        <f>IF(E414="","",VLOOKUP('Opći dio'!$C$3,'Opći dio'!$L$6:$U$136,10,FALSE))</f>
        <v/>
      </c>
      <c r="B414" s="139" t="str">
        <f>IF(E414="","",VLOOKUP('Opći dio'!$C$3,'Opći dio'!$L$6:$U$136,9,FALSE))</f>
        <v/>
      </c>
      <c r="C414" s="187" t="str">
        <f t="shared" si="33"/>
        <v/>
      </c>
      <c r="D414" s="138" t="str">
        <f t="shared" si="34"/>
        <v/>
      </c>
      <c r="E414" s="150"/>
      <c r="F414" s="191" t="str">
        <f t="shared" si="35"/>
        <v/>
      </c>
      <c r="G414" s="185"/>
      <c r="H414" s="185"/>
      <c r="I414" s="185"/>
      <c r="K414" s="141" t="str">
        <f t="shared" si="36"/>
        <v/>
      </c>
      <c r="L414" s="141" t="str">
        <f t="shared" si="37"/>
        <v/>
      </c>
    </row>
    <row r="415" spans="1:12">
      <c r="A415" s="139" t="str">
        <f>IF(E415="","",VLOOKUP('Opći dio'!$C$3,'Opći dio'!$L$6:$U$136,10,FALSE))</f>
        <v/>
      </c>
      <c r="B415" s="139" t="str">
        <f>IF(E415="","",VLOOKUP('Opći dio'!$C$3,'Opći dio'!$L$6:$U$136,9,FALSE))</f>
        <v/>
      </c>
      <c r="C415" s="187" t="str">
        <f t="shared" si="33"/>
        <v/>
      </c>
      <c r="D415" s="138" t="str">
        <f t="shared" si="34"/>
        <v/>
      </c>
      <c r="E415" s="150"/>
      <c r="F415" s="191" t="str">
        <f t="shared" si="35"/>
        <v/>
      </c>
      <c r="G415" s="185"/>
      <c r="H415" s="185"/>
      <c r="I415" s="185"/>
      <c r="K415" s="141" t="str">
        <f t="shared" si="36"/>
        <v/>
      </c>
      <c r="L415" s="141" t="str">
        <f t="shared" si="37"/>
        <v/>
      </c>
    </row>
    <row r="416" spans="1:12">
      <c r="A416" s="139" t="str">
        <f>IF(E416="","",VLOOKUP('Opći dio'!$C$3,'Opći dio'!$L$6:$U$136,10,FALSE))</f>
        <v/>
      </c>
      <c r="B416" s="139" t="str">
        <f>IF(E416="","",VLOOKUP('Opći dio'!$C$3,'Opći dio'!$L$6:$U$136,9,FALSE))</f>
        <v/>
      </c>
      <c r="C416" s="187" t="str">
        <f t="shared" si="33"/>
        <v/>
      </c>
      <c r="D416" s="138" t="str">
        <f t="shared" si="34"/>
        <v/>
      </c>
      <c r="E416" s="150"/>
      <c r="F416" s="191" t="str">
        <f t="shared" si="35"/>
        <v/>
      </c>
      <c r="G416" s="185"/>
      <c r="H416" s="185"/>
      <c r="I416" s="185"/>
      <c r="K416" s="141" t="str">
        <f t="shared" si="36"/>
        <v/>
      </c>
      <c r="L416" s="141" t="str">
        <f t="shared" si="37"/>
        <v/>
      </c>
    </row>
    <row r="417" spans="1:12">
      <c r="A417" s="139" t="str">
        <f>IF(E417="","",VLOOKUP('Opći dio'!$C$3,'Opći dio'!$L$6:$U$136,10,FALSE))</f>
        <v/>
      </c>
      <c r="B417" s="139" t="str">
        <f>IF(E417="","",VLOOKUP('Opći dio'!$C$3,'Opći dio'!$L$6:$U$136,9,FALSE))</f>
        <v/>
      </c>
      <c r="C417" s="187" t="str">
        <f t="shared" si="33"/>
        <v/>
      </c>
      <c r="D417" s="138" t="str">
        <f t="shared" si="34"/>
        <v/>
      </c>
      <c r="E417" s="150"/>
      <c r="F417" s="191" t="str">
        <f t="shared" si="35"/>
        <v/>
      </c>
      <c r="G417" s="185"/>
      <c r="H417" s="185"/>
      <c r="I417" s="185"/>
      <c r="K417" s="141" t="str">
        <f t="shared" si="36"/>
        <v/>
      </c>
      <c r="L417" s="141" t="str">
        <f t="shared" si="37"/>
        <v/>
      </c>
    </row>
    <row r="418" spans="1:12">
      <c r="A418" s="139" t="str">
        <f>IF(E418="","",VLOOKUP('Opći dio'!$C$3,'Opći dio'!$L$6:$U$136,10,FALSE))</f>
        <v/>
      </c>
      <c r="B418" s="139" t="str">
        <f>IF(E418="","",VLOOKUP('Opći dio'!$C$3,'Opći dio'!$L$6:$U$136,9,FALSE))</f>
        <v/>
      </c>
      <c r="C418" s="187" t="str">
        <f t="shared" si="33"/>
        <v/>
      </c>
      <c r="D418" s="138" t="str">
        <f t="shared" si="34"/>
        <v/>
      </c>
      <c r="E418" s="150"/>
      <c r="F418" s="191" t="str">
        <f t="shared" si="35"/>
        <v/>
      </c>
      <c r="G418" s="185"/>
      <c r="H418" s="185"/>
      <c r="I418" s="185"/>
      <c r="K418" s="141" t="str">
        <f t="shared" si="36"/>
        <v/>
      </c>
      <c r="L418" s="141" t="str">
        <f t="shared" si="37"/>
        <v/>
      </c>
    </row>
    <row r="419" spans="1:12">
      <c r="A419" s="139" t="str">
        <f>IF(E419="","",VLOOKUP('Opći dio'!$C$3,'Opći dio'!$L$6:$U$136,10,FALSE))</f>
        <v/>
      </c>
      <c r="B419" s="139" t="str">
        <f>IF(E419="","",VLOOKUP('Opći dio'!$C$3,'Opći dio'!$L$6:$U$136,9,FALSE))</f>
        <v/>
      </c>
      <c r="C419" s="187" t="str">
        <f t="shared" si="33"/>
        <v/>
      </c>
      <c r="D419" s="138" t="str">
        <f t="shared" si="34"/>
        <v/>
      </c>
      <c r="E419" s="150"/>
      <c r="F419" s="191" t="str">
        <f t="shared" si="35"/>
        <v/>
      </c>
      <c r="G419" s="185"/>
      <c r="H419" s="185"/>
      <c r="I419" s="185"/>
      <c r="K419" s="141" t="str">
        <f t="shared" si="36"/>
        <v/>
      </c>
      <c r="L419" s="141" t="str">
        <f t="shared" si="37"/>
        <v/>
      </c>
    </row>
    <row r="420" spans="1:12">
      <c r="A420" s="139" t="str">
        <f>IF(E420="","",VLOOKUP('Opći dio'!$C$3,'Opći dio'!$L$6:$U$136,10,FALSE))</f>
        <v/>
      </c>
      <c r="B420" s="139" t="str">
        <f>IF(E420="","",VLOOKUP('Opći dio'!$C$3,'Opći dio'!$L$6:$U$136,9,FALSE))</f>
        <v/>
      </c>
      <c r="C420" s="187" t="str">
        <f t="shared" si="33"/>
        <v/>
      </c>
      <c r="D420" s="138" t="str">
        <f t="shared" si="34"/>
        <v/>
      </c>
      <c r="E420" s="150"/>
      <c r="F420" s="191" t="str">
        <f t="shared" si="35"/>
        <v/>
      </c>
      <c r="G420" s="185"/>
      <c r="H420" s="185"/>
      <c r="I420" s="185"/>
      <c r="K420" s="141" t="str">
        <f t="shared" si="36"/>
        <v/>
      </c>
      <c r="L420" s="141" t="str">
        <f t="shared" si="37"/>
        <v/>
      </c>
    </row>
    <row r="421" spans="1:12">
      <c r="A421" s="139" t="str">
        <f>IF(E421="","",VLOOKUP('Opći dio'!$C$3,'Opći dio'!$L$6:$U$136,10,FALSE))</f>
        <v/>
      </c>
      <c r="B421" s="139" t="str">
        <f>IF(E421="","",VLOOKUP('Opći dio'!$C$3,'Opći dio'!$L$6:$U$136,9,FALSE))</f>
        <v/>
      </c>
      <c r="C421" s="187" t="str">
        <f t="shared" si="33"/>
        <v/>
      </c>
      <c r="D421" s="138" t="str">
        <f t="shared" si="34"/>
        <v/>
      </c>
      <c r="E421" s="150"/>
      <c r="F421" s="191" t="str">
        <f t="shared" si="35"/>
        <v/>
      </c>
      <c r="G421" s="185"/>
      <c r="H421" s="185"/>
      <c r="I421" s="185"/>
      <c r="K421" s="141" t="str">
        <f t="shared" si="36"/>
        <v/>
      </c>
      <c r="L421" s="141" t="str">
        <f t="shared" si="37"/>
        <v/>
      </c>
    </row>
    <row r="422" spans="1:12">
      <c r="A422" s="139" t="str">
        <f>IF(E422="","",VLOOKUP('Opći dio'!$C$3,'Opći dio'!$L$6:$U$136,10,FALSE))</f>
        <v/>
      </c>
      <c r="B422" s="139" t="str">
        <f>IF(E422="","",VLOOKUP('Opći dio'!$C$3,'Opći dio'!$L$6:$U$136,9,FALSE))</f>
        <v/>
      </c>
      <c r="C422" s="187" t="str">
        <f t="shared" si="33"/>
        <v/>
      </c>
      <c r="D422" s="138" t="str">
        <f t="shared" si="34"/>
        <v/>
      </c>
      <c r="E422" s="150"/>
      <c r="F422" s="191" t="str">
        <f t="shared" si="35"/>
        <v/>
      </c>
      <c r="G422" s="185"/>
      <c r="H422" s="185"/>
      <c r="I422" s="185"/>
      <c r="K422" s="141" t="str">
        <f t="shared" si="36"/>
        <v/>
      </c>
      <c r="L422" s="141" t="str">
        <f t="shared" si="37"/>
        <v/>
      </c>
    </row>
    <row r="423" spans="1:12">
      <c r="A423" s="139" t="str">
        <f>IF(E423="","",VLOOKUP('Opći dio'!$C$3,'Opći dio'!$L$6:$U$136,10,FALSE))</f>
        <v/>
      </c>
      <c r="B423" s="139" t="str">
        <f>IF(E423="","",VLOOKUP('Opći dio'!$C$3,'Opći dio'!$L$6:$U$136,9,FALSE))</f>
        <v/>
      </c>
      <c r="C423" s="187" t="str">
        <f t="shared" si="33"/>
        <v/>
      </c>
      <c r="D423" s="138" t="str">
        <f t="shared" si="34"/>
        <v/>
      </c>
      <c r="E423" s="150"/>
      <c r="F423" s="191" t="str">
        <f t="shared" si="35"/>
        <v/>
      </c>
      <c r="G423" s="185"/>
      <c r="H423" s="185"/>
      <c r="I423" s="185"/>
      <c r="K423" s="141" t="str">
        <f t="shared" si="36"/>
        <v/>
      </c>
      <c r="L423" s="141" t="str">
        <f t="shared" si="37"/>
        <v/>
      </c>
    </row>
    <row r="424" spans="1:12">
      <c r="A424" s="139" t="str">
        <f>IF(E424="","",VLOOKUP('Opći dio'!$C$3,'Opći dio'!$L$6:$U$136,10,FALSE))</f>
        <v/>
      </c>
      <c r="B424" s="139" t="str">
        <f>IF(E424="","",VLOOKUP('Opći dio'!$C$3,'Opći dio'!$L$6:$U$136,9,FALSE))</f>
        <v/>
      </c>
      <c r="C424" s="187" t="str">
        <f t="shared" si="33"/>
        <v/>
      </c>
      <c r="D424" s="138" t="str">
        <f t="shared" si="34"/>
        <v/>
      </c>
      <c r="E424" s="150"/>
      <c r="F424" s="191" t="str">
        <f t="shared" si="35"/>
        <v/>
      </c>
      <c r="G424" s="185"/>
      <c r="H424" s="185"/>
      <c r="I424" s="185"/>
      <c r="K424" s="141" t="str">
        <f t="shared" si="36"/>
        <v/>
      </c>
      <c r="L424" s="141" t="str">
        <f t="shared" si="37"/>
        <v/>
      </c>
    </row>
    <row r="425" spans="1:12">
      <c r="A425" s="139" t="str">
        <f>IF(E425="","",VLOOKUP('Opći dio'!$C$3,'Opći dio'!$L$6:$U$136,10,FALSE))</f>
        <v/>
      </c>
      <c r="B425" s="139" t="str">
        <f>IF(E425="","",VLOOKUP('Opći dio'!$C$3,'Opći dio'!$L$6:$U$136,9,FALSE))</f>
        <v/>
      </c>
      <c r="C425" s="187" t="str">
        <f t="shared" si="33"/>
        <v/>
      </c>
      <c r="D425" s="138" t="str">
        <f t="shared" si="34"/>
        <v/>
      </c>
      <c r="E425" s="150"/>
      <c r="F425" s="191" t="str">
        <f t="shared" si="35"/>
        <v/>
      </c>
      <c r="G425" s="185"/>
      <c r="H425" s="185"/>
      <c r="I425" s="185"/>
      <c r="K425" s="141" t="str">
        <f t="shared" si="36"/>
        <v/>
      </c>
      <c r="L425" s="141" t="str">
        <f t="shared" si="37"/>
        <v/>
      </c>
    </row>
    <row r="426" spans="1:12">
      <c r="A426" s="139" t="str">
        <f>IF(E426="","",VLOOKUP('Opći dio'!$C$3,'Opći dio'!$L$6:$U$136,10,FALSE))</f>
        <v/>
      </c>
      <c r="B426" s="139" t="str">
        <f>IF(E426="","",VLOOKUP('Opći dio'!$C$3,'Opći dio'!$L$6:$U$136,9,FALSE))</f>
        <v/>
      </c>
      <c r="C426" s="187" t="str">
        <f t="shared" si="33"/>
        <v/>
      </c>
      <c r="D426" s="138" t="str">
        <f t="shared" si="34"/>
        <v/>
      </c>
      <c r="E426" s="150"/>
      <c r="F426" s="191" t="str">
        <f t="shared" si="35"/>
        <v/>
      </c>
      <c r="G426" s="185"/>
      <c r="H426" s="185"/>
      <c r="I426" s="185"/>
      <c r="K426" s="141" t="str">
        <f t="shared" si="36"/>
        <v/>
      </c>
      <c r="L426" s="141" t="str">
        <f t="shared" si="37"/>
        <v/>
      </c>
    </row>
    <row r="427" spans="1:12">
      <c r="A427" s="139" t="str">
        <f>IF(E427="","",VLOOKUP('Opći dio'!$C$3,'Opći dio'!$L$6:$U$136,10,FALSE))</f>
        <v/>
      </c>
      <c r="B427" s="139" t="str">
        <f>IF(E427="","",VLOOKUP('Opći dio'!$C$3,'Opći dio'!$L$6:$U$136,9,FALSE))</f>
        <v/>
      </c>
      <c r="C427" s="187" t="str">
        <f t="shared" si="33"/>
        <v/>
      </c>
      <c r="D427" s="138" t="str">
        <f t="shared" si="34"/>
        <v/>
      </c>
      <c r="E427" s="150"/>
      <c r="F427" s="191" t="str">
        <f t="shared" si="35"/>
        <v/>
      </c>
      <c r="G427" s="185"/>
      <c r="H427" s="185"/>
      <c r="I427" s="185"/>
      <c r="K427" s="141" t="str">
        <f t="shared" si="36"/>
        <v/>
      </c>
      <c r="L427" s="141" t="str">
        <f t="shared" si="37"/>
        <v/>
      </c>
    </row>
    <row r="428" spans="1:12">
      <c r="A428" s="139" t="str">
        <f>IF(E428="","",VLOOKUP('Opći dio'!$C$3,'Opći dio'!$L$6:$U$136,10,FALSE))</f>
        <v/>
      </c>
      <c r="B428" s="139" t="str">
        <f>IF(E428="","",VLOOKUP('Opći dio'!$C$3,'Opći dio'!$L$6:$U$136,9,FALSE))</f>
        <v/>
      </c>
      <c r="C428" s="187" t="str">
        <f t="shared" si="33"/>
        <v/>
      </c>
      <c r="D428" s="138" t="str">
        <f t="shared" si="34"/>
        <v/>
      </c>
      <c r="E428" s="150"/>
      <c r="F428" s="191" t="str">
        <f t="shared" si="35"/>
        <v/>
      </c>
      <c r="G428" s="185"/>
      <c r="H428" s="185"/>
      <c r="I428" s="185"/>
      <c r="K428" s="141" t="str">
        <f t="shared" si="36"/>
        <v/>
      </c>
      <c r="L428" s="141" t="str">
        <f t="shared" si="37"/>
        <v/>
      </c>
    </row>
    <row r="429" spans="1:12">
      <c r="A429" s="139" t="str">
        <f>IF(E429="","",VLOOKUP('Opći dio'!$C$3,'Opći dio'!$L$6:$U$136,10,FALSE))</f>
        <v/>
      </c>
      <c r="B429" s="139" t="str">
        <f>IF(E429="","",VLOOKUP('Opći dio'!$C$3,'Opći dio'!$L$6:$U$136,9,FALSE))</f>
        <v/>
      </c>
      <c r="C429" s="187" t="str">
        <f t="shared" si="33"/>
        <v/>
      </c>
      <c r="D429" s="138" t="str">
        <f t="shared" si="34"/>
        <v/>
      </c>
      <c r="E429" s="150"/>
      <c r="F429" s="191" t="str">
        <f t="shared" si="35"/>
        <v/>
      </c>
      <c r="G429" s="185"/>
      <c r="H429" s="185"/>
      <c r="I429" s="185"/>
      <c r="K429" s="141" t="str">
        <f t="shared" si="36"/>
        <v/>
      </c>
      <c r="L429" s="141" t="str">
        <f t="shared" si="37"/>
        <v/>
      </c>
    </row>
    <row r="430" spans="1:12">
      <c r="A430" s="139" t="str">
        <f>IF(E430="","",VLOOKUP('Opći dio'!$C$3,'Opći dio'!$L$6:$U$136,10,FALSE))</f>
        <v/>
      </c>
      <c r="B430" s="139" t="str">
        <f>IF(E430="","",VLOOKUP('Opći dio'!$C$3,'Opći dio'!$L$6:$U$136,9,FALSE))</f>
        <v/>
      </c>
      <c r="C430" s="187" t="str">
        <f t="shared" si="33"/>
        <v/>
      </c>
      <c r="D430" s="138" t="str">
        <f t="shared" si="34"/>
        <v/>
      </c>
      <c r="E430" s="150"/>
      <c r="F430" s="191" t="str">
        <f t="shared" si="35"/>
        <v/>
      </c>
      <c r="G430" s="185"/>
      <c r="H430" s="185"/>
      <c r="I430" s="185"/>
      <c r="K430" s="141" t="str">
        <f t="shared" si="36"/>
        <v/>
      </c>
      <c r="L430" s="141" t="str">
        <f t="shared" si="37"/>
        <v/>
      </c>
    </row>
    <row r="431" spans="1:12">
      <c r="A431" s="139" t="str">
        <f>IF(E431="","",VLOOKUP('Opći dio'!$C$3,'Opći dio'!$L$6:$U$136,10,FALSE))</f>
        <v/>
      </c>
      <c r="B431" s="139" t="str">
        <f>IF(E431="","",VLOOKUP('Opći dio'!$C$3,'Opći dio'!$L$6:$U$136,9,FALSE))</f>
        <v/>
      </c>
      <c r="C431" s="187" t="str">
        <f t="shared" si="33"/>
        <v/>
      </c>
      <c r="D431" s="138" t="str">
        <f t="shared" si="34"/>
        <v/>
      </c>
      <c r="E431" s="150"/>
      <c r="F431" s="191" t="str">
        <f t="shared" si="35"/>
        <v/>
      </c>
      <c r="G431" s="185"/>
      <c r="H431" s="185"/>
      <c r="I431" s="185"/>
      <c r="K431" s="141" t="str">
        <f t="shared" si="36"/>
        <v/>
      </c>
      <c r="L431" s="141" t="str">
        <f t="shared" si="37"/>
        <v/>
      </c>
    </row>
    <row r="432" spans="1:12">
      <c r="A432" s="139" t="str">
        <f>IF(E432="","",VLOOKUP('Opći dio'!$C$3,'Opći dio'!$L$6:$U$136,10,FALSE))</f>
        <v/>
      </c>
      <c r="B432" s="139" t="str">
        <f>IF(E432="","",VLOOKUP('Opći dio'!$C$3,'Opći dio'!$L$6:$U$136,9,FALSE))</f>
        <v/>
      </c>
      <c r="C432" s="187" t="str">
        <f t="shared" si="33"/>
        <v/>
      </c>
      <c r="D432" s="138" t="str">
        <f t="shared" si="34"/>
        <v/>
      </c>
      <c r="E432" s="150"/>
      <c r="F432" s="191" t="str">
        <f t="shared" si="35"/>
        <v/>
      </c>
      <c r="G432" s="185"/>
      <c r="H432" s="185"/>
      <c r="I432" s="185"/>
      <c r="K432" s="141" t="str">
        <f t="shared" si="36"/>
        <v/>
      </c>
      <c r="L432" s="141" t="str">
        <f t="shared" si="37"/>
        <v/>
      </c>
    </row>
    <row r="433" spans="1:12">
      <c r="A433" s="139" t="str">
        <f>IF(E433="","",VLOOKUP('Opći dio'!$C$3,'Opći dio'!$L$6:$U$136,10,FALSE))</f>
        <v/>
      </c>
      <c r="B433" s="139" t="str">
        <f>IF(E433="","",VLOOKUP('Opći dio'!$C$3,'Opći dio'!$L$6:$U$136,9,FALSE))</f>
        <v/>
      </c>
      <c r="C433" s="187" t="str">
        <f t="shared" si="33"/>
        <v/>
      </c>
      <c r="D433" s="138" t="str">
        <f t="shared" si="34"/>
        <v/>
      </c>
      <c r="E433" s="150"/>
      <c r="F433" s="191" t="str">
        <f t="shared" si="35"/>
        <v/>
      </c>
      <c r="G433" s="185"/>
      <c r="H433" s="185"/>
      <c r="I433" s="185"/>
      <c r="K433" s="141" t="str">
        <f t="shared" si="36"/>
        <v/>
      </c>
      <c r="L433" s="141" t="str">
        <f t="shared" si="37"/>
        <v/>
      </c>
    </row>
    <row r="434" spans="1:12">
      <c r="A434" s="139" t="str">
        <f>IF(E434="","",VLOOKUP('Opći dio'!$C$3,'Opći dio'!$L$6:$U$136,10,FALSE))</f>
        <v/>
      </c>
      <c r="B434" s="139" t="str">
        <f>IF(E434="","",VLOOKUP('Opći dio'!$C$3,'Opći dio'!$L$6:$U$136,9,FALSE))</f>
        <v/>
      </c>
      <c r="C434" s="187" t="str">
        <f t="shared" si="33"/>
        <v/>
      </c>
      <c r="D434" s="138" t="str">
        <f t="shared" si="34"/>
        <v/>
      </c>
      <c r="E434" s="150"/>
      <c r="F434" s="191" t="str">
        <f t="shared" si="35"/>
        <v/>
      </c>
      <c r="G434" s="185"/>
      <c r="H434" s="185"/>
      <c r="I434" s="185"/>
      <c r="K434" s="141" t="str">
        <f t="shared" si="36"/>
        <v/>
      </c>
      <c r="L434" s="141" t="str">
        <f t="shared" si="37"/>
        <v/>
      </c>
    </row>
    <row r="435" spans="1:12">
      <c r="A435" s="139" t="str">
        <f>IF(E435="","",VLOOKUP('Opći dio'!$C$3,'Opći dio'!$L$6:$U$136,10,FALSE))</f>
        <v/>
      </c>
      <c r="B435" s="139" t="str">
        <f>IF(E435="","",VLOOKUP('Opći dio'!$C$3,'Opći dio'!$L$6:$U$136,9,FALSE))</f>
        <v/>
      </c>
      <c r="C435" s="187" t="str">
        <f t="shared" si="33"/>
        <v/>
      </c>
      <c r="D435" s="138" t="str">
        <f t="shared" si="34"/>
        <v/>
      </c>
      <c r="E435" s="150"/>
      <c r="F435" s="191" t="str">
        <f t="shared" si="35"/>
        <v/>
      </c>
      <c r="G435" s="185"/>
      <c r="H435" s="185"/>
      <c r="I435" s="185"/>
      <c r="K435" s="141" t="str">
        <f t="shared" si="36"/>
        <v/>
      </c>
      <c r="L435" s="141" t="str">
        <f t="shared" si="37"/>
        <v/>
      </c>
    </row>
    <row r="436" spans="1:12">
      <c r="A436" s="139" t="str">
        <f>IF(E436="","",VLOOKUP('Opći dio'!$C$3,'Opći dio'!$L$6:$U$136,10,FALSE))</f>
        <v/>
      </c>
      <c r="B436" s="139" t="str">
        <f>IF(E436="","",VLOOKUP('Opći dio'!$C$3,'Opći dio'!$L$6:$U$136,9,FALSE))</f>
        <v/>
      </c>
      <c r="C436" s="187" t="str">
        <f t="shared" si="33"/>
        <v/>
      </c>
      <c r="D436" s="138" t="str">
        <f t="shared" si="34"/>
        <v/>
      </c>
      <c r="E436" s="150"/>
      <c r="F436" s="191" t="str">
        <f t="shared" si="35"/>
        <v/>
      </c>
      <c r="G436" s="185"/>
      <c r="H436" s="185"/>
      <c r="I436" s="185"/>
      <c r="K436" s="141" t="str">
        <f t="shared" si="36"/>
        <v/>
      </c>
      <c r="L436" s="141" t="str">
        <f t="shared" si="37"/>
        <v/>
      </c>
    </row>
    <row r="437" spans="1:12">
      <c r="A437" s="139" t="str">
        <f>IF(E437="","",VLOOKUP('Opći dio'!$C$3,'Opći dio'!$L$6:$U$136,10,FALSE))</f>
        <v/>
      </c>
      <c r="B437" s="139" t="str">
        <f>IF(E437="","",VLOOKUP('Opći dio'!$C$3,'Opći dio'!$L$6:$U$136,9,FALSE))</f>
        <v/>
      </c>
      <c r="C437" s="187" t="str">
        <f t="shared" si="33"/>
        <v/>
      </c>
      <c r="D437" s="138" t="str">
        <f t="shared" si="34"/>
        <v/>
      </c>
      <c r="E437" s="150"/>
      <c r="F437" s="191" t="str">
        <f t="shared" si="35"/>
        <v/>
      </c>
      <c r="G437" s="185"/>
      <c r="H437" s="185"/>
      <c r="I437" s="185"/>
      <c r="K437" s="141" t="str">
        <f t="shared" si="36"/>
        <v/>
      </c>
      <c r="L437" s="141" t="str">
        <f t="shared" si="37"/>
        <v/>
      </c>
    </row>
    <row r="438" spans="1:12">
      <c r="A438" s="139" t="str">
        <f>IF(E438="","",VLOOKUP('Opći dio'!$C$3,'Opći dio'!$L$6:$U$136,10,FALSE))</f>
        <v/>
      </c>
      <c r="B438" s="139" t="str">
        <f>IF(E438="","",VLOOKUP('Opći dio'!$C$3,'Opći dio'!$L$6:$U$136,9,FALSE))</f>
        <v/>
      </c>
      <c r="C438" s="187" t="str">
        <f t="shared" si="33"/>
        <v/>
      </c>
      <c r="D438" s="138" t="str">
        <f t="shared" si="34"/>
        <v/>
      </c>
      <c r="E438" s="150"/>
      <c r="F438" s="191" t="str">
        <f t="shared" si="35"/>
        <v/>
      </c>
      <c r="G438" s="185"/>
      <c r="H438" s="185"/>
      <c r="I438" s="185"/>
      <c r="K438" s="141" t="str">
        <f t="shared" si="36"/>
        <v/>
      </c>
      <c r="L438" s="141" t="str">
        <f t="shared" si="37"/>
        <v/>
      </c>
    </row>
    <row r="439" spans="1:12">
      <c r="A439" s="139" t="str">
        <f>IF(E439="","",VLOOKUP('Opći dio'!$C$3,'Opći dio'!$L$6:$U$136,10,FALSE))</f>
        <v/>
      </c>
      <c r="B439" s="139" t="str">
        <f>IF(E439="","",VLOOKUP('Opći dio'!$C$3,'Opći dio'!$L$6:$U$136,9,FALSE))</f>
        <v/>
      </c>
      <c r="C439" s="187" t="str">
        <f t="shared" si="33"/>
        <v/>
      </c>
      <c r="D439" s="138" t="str">
        <f t="shared" si="34"/>
        <v/>
      </c>
      <c r="E439" s="150"/>
      <c r="F439" s="191" t="str">
        <f t="shared" si="35"/>
        <v/>
      </c>
      <c r="G439" s="185"/>
      <c r="H439" s="185"/>
      <c r="I439" s="185"/>
      <c r="K439" s="141" t="str">
        <f t="shared" si="36"/>
        <v/>
      </c>
      <c r="L439" s="141" t="str">
        <f t="shared" si="37"/>
        <v/>
      </c>
    </row>
    <row r="440" spans="1:12">
      <c r="A440" s="139" t="str">
        <f>IF(E440="","",VLOOKUP('Opći dio'!$C$3,'Opći dio'!$L$6:$U$136,10,FALSE))</f>
        <v/>
      </c>
      <c r="B440" s="139" t="str">
        <f>IF(E440="","",VLOOKUP('Opći dio'!$C$3,'Opći dio'!$L$6:$U$136,9,FALSE))</f>
        <v/>
      </c>
      <c r="C440" s="187" t="str">
        <f t="shared" si="33"/>
        <v/>
      </c>
      <c r="D440" s="138" t="str">
        <f t="shared" si="34"/>
        <v/>
      </c>
      <c r="E440" s="150"/>
      <c r="F440" s="191" t="str">
        <f t="shared" si="35"/>
        <v/>
      </c>
      <c r="G440" s="185"/>
      <c r="H440" s="185"/>
      <c r="I440" s="185"/>
      <c r="K440" s="141" t="str">
        <f t="shared" si="36"/>
        <v/>
      </c>
      <c r="L440" s="141" t="str">
        <f t="shared" si="37"/>
        <v/>
      </c>
    </row>
    <row r="441" spans="1:12">
      <c r="A441" s="139" t="str">
        <f>IF(E441="","",VLOOKUP('Opći dio'!$C$3,'Opći dio'!$L$6:$U$136,10,FALSE))</f>
        <v/>
      </c>
      <c r="B441" s="139" t="str">
        <f>IF(E441="","",VLOOKUP('Opći dio'!$C$3,'Opći dio'!$L$6:$U$136,9,FALSE))</f>
        <v/>
      </c>
      <c r="C441" s="187" t="str">
        <f t="shared" si="33"/>
        <v/>
      </c>
      <c r="D441" s="138" t="str">
        <f t="shared" si="34"/>
        <v/>
      </c>
      <c r="E441" s="150"/>
      <c r="F441" s="191" t="str">
        <f t="shared" si="35"/>
        <v/>
      </c>
      <c r="G441" s="185"/>
      <c r="H441" s="185"/>
      <c r="I441" s="185"/>
      <c r="K441" s="141" t="str">
        <f t="shared" si="36"/>
        <v/>
      </c>
      <c r="L441" s="141" t="str">
        <f t="shared" si="37"/>
        <v/>
      </c>
    </row>
    <row r="442" spans="1:12">
      <c r="A442" s="139" t="str">
        <f>IF(E442="","",VLOOKUP('Opći dio'!$C$3,'Opći dio'!$L$6:$U$136,10,FALSE))</f>
        <v/>
      </c>
      <c r="B442" s="139" t="str">
        <f>IF(E442="","",VLOOKUP('Opći dio'!$C$3,'Opći dio'!$L$6:$U$136,9,FALSE))</f>
        <v/>
      </c>
      <c r="C442" s="187" t="str">
        <f t="shared" si="33"/>
        <v/>
      </c>
      <c r="D442" s="138" t="str">
        <f t="shared" si="34"/>
        <v/>
      </c>
      <c r="E442" s="150"/>
      <c r="F442" s="191" t="str">
        <f t="shared" si="35"/>
        <v/>
      </c>
      <c r="G442" s="185"/>
      <c r="H442" s="185"/>
      <c r="I442" s="185"/>
      <c r="K442" s="141" t="str">
        <f t="shared" si="36"/>
        <v/>
      </c>
      <c r="L442" s="141" t="str">
        <f t="shared" si="37"/>
        <v/>
      </c>
    </row>
    <row r="443" spans="1:12">
      <c r="A443" s="139" t="str">
        <f>IF(E443="","",VLOOKUP('Opći dio'!$C$3,'Opći dio'!$L$6:$U$136,10,FALSE))</f>
        <v/>
      </c>
      <c r="B443" s="139" t="str">
        <f>IF(E443="","",VLOOKUP('Opći dio'!$C$3,'Opći dio'!$L$6:$U$136,9,FALSE))</f>
        <v/>
      </c>
      <c r="C443" s="187" t="str">
        <f t="shared" si="33"/>
        <v/>
      </c>
      <c r="D443" s="138" t="str">
        <f t="shared" si="34"/>
        <v/>
      </c>
      <c r="E443" s="150"/>
      <c r="F443" s="191" t="str">
        <f t="shared" si="35"/>
        <v/>
      </c>
      <c r="G443" s="185"/>
      <c r="H443" s="185"/>
      <c r="I443" s="185"/>
      <c r="K443" s="141" t="str">
        <f t="shared" si="36"/>
        <v/>
      </c>
      <c r="L443" s="141" t="str">
        <f t="shared" si="37"/>
        <v/>
      </c>
    </row>
    <row r="444" spans="1:12">
      <c r="A444" s="139" t="str">
        <f>IF(E444="","",VLOOKUP('Opći dio'!$C$3,'Opći dio'!$L$6:$U$136,10,FALSE))</f>
        <v/>
      </c>
      <c r="B444" s="139" t="str">
        <f>IF(E444="","",VLOOKUP('Opći dio'!$C$3,'Opći dio'!$L$6:$U$136,9,FALSE))</f>
        <v/>
      </c>
      <c r="C444" s="187" t="str">
        <f t="shared" si="33"/>
        <v/>
      </c>
      <c r="D444" s="138" t="str">
        <f t="shared" si="34"/>
        <v/>
      </c>
      <c r="E444" s="150"/>
      <c r="F444" s="191" t="str">
        <f t="shared" si="35"/>
        <v/>
      </c>
      <c r="G444" s="185"/>
      <c r="H444" s="185"/>
      <c r="I444" s="185"/>
      <c r="K444" s="141" t="str">
        <f t="shared" si="36"/>
        <v/>
      </c>
      <c r="L444" s="141" t="str">
        <f t="shared" si="37"/>
        <v/>
      </c>
    </row>
    <row r="445" spans="1:12">
      <c r="A445" s="139" t="str">
        <f>IF(E445="","",VLOOKUP('Opći dio'!$C$3,'Opći dio'!$L$6:$U$136,10,FALSE))</f>
        <v/>
      </c>
      <c r="B445" s="139" t="str">
        <f>IF(E445="","",VLOOKUP('Opći dio'!$C$3,'Opći dio'!$L$6:$U$136,9,FALSE))</f>
        <v/>
      </c>
      <c r="C445" s="187" t="str">
        <f t="shared" si="33"/>
        <v/>
      </c>
      <c r="D445" s="138" t="str">
        <f t="shared" si="34"/>
        <v/>
      </c>
      <c r="E445" s="150"/>
      <c r="F445" s="191" t="str">
        <f t="shared" si="35"/>
        <v/>
      </c>
      <c r="G445" s="185"/>
      <c r="H445" s="185"/>
      <c r="I445" s="185"/>
      <c r="K445" s="141" t="str">
        <f t="shared" si="36"/>
        <v/>
      </c>
      <c r="L445" s="141" t="str">
        <f t="shared" si="37"/>
        <v/>
      </c>
    </row>
    <row r="446" spans="1:12">
      <c r="A446" s="139" t="str">
        <f>IF(E446="","",VLOOKUP('Opći dio'!$C$3,'Opći dio'!$L$6:$U$136,10,FALSE))</f>
        <v/>
      </c>
      <c r="B446" s="139" t="str">
        <f>IF(E446="","",VLOOKUP('Opći dio'!$C$3,'Opći dio'!$L$6:$U$136,9,FALSE))</f>
        <v/>
      </c>
      <c r="C446" s="187" t="str">
        <f t="shared" si="33"/>
        <v/>
      </c>
      <c r="D446" s="138" t="str">
        <f t="shared" si="34"/>
        <v/>
      </c>
      <c r="E446" s="150"/>
      <c r="F446" s="191" t="str">
        <f t="shared" si="35"/>
        <v/>
      </c>
      <c r="G446" s="185"/>
      <c r="H446" s="185"/>
      <c r="I446" s="185"/>
      <c r="K446" s="141" t="str">
        <f t="shared" si="36"/>
        <v/>
      </c>
      <c r="L446" s="141" t="str">
        <f t="shared" si="37"/>
        <v/>
      </c>
    </row>
    <row r="447" spans="1:12">
      <c r="A447" s="139" t="str">
        <f>IF(E447="","",VLOOKUP('Opći dio'!$C$3,'Opći dio'!$L$6:$U$136,10,FALSE))</f>
        <v/>
      </c>
      <c r="B447" s="139" t="str">
        <f>IF(E447="","",VLOOKUP('Opći dio'!$C$3,'Opći dio'!$L$6:$U$136,9,FALSE))</f>
        <v/>
      </c>
      <c r="C447" s="187" t="str">
        <f t="shared" si="33"/>
        <v/>
      </c>
      <c r="D447" s="138" t="str">
        <f t="shared" si="34"/>
        <v/>
      </c>
      <c r="E447" s="150"/>
      <c r="F447" s="191" t="str">
        <f t="shared" si="35"/>
        <v/>
      </c>
      <c r="G447" s="185"/>
      <c r="H447" s="185"/>
      <c r="I447" s="185"/>
      <c r="K447" s="141" t="str">
        <f t="shared" si="36"/>
        <v/>
      </c>
      <c r="L447" s="141" t="str">
        <f t="shared" si="37"/>
        <v/>
      </c>
    </row>
    <row r="448" spans="1:12">
      <c r="A448" s="139" t="str">
        <f>IF(E448="","",VLOOKUP('Opći dio'!$C$3,'Opći dio'!$L$6:$U$136,10,FALSE))</f>
        <v/>
      </c>
      <c r="B448" s="139" t="str">
        <f>IF(E448="","",VLOOKUP('Opći dio'!$C$3,'Opći dio'!$L$6:$U$136,9,FALSE))</f>
        <v/>
      </c>
      <c r="C448" s="187" t="str">
        <f t="shared" si="33"/>
        <v/>
      </c>
      <c r="D448" s="138" t="str">
        <f t="shared" si="34"/>
        <v/>
      </c>
      <c r="E448" s="150"/>
      <c r="F448" s="191" t="str">
        <f t="shared" si="35"/>
        <v/>
      </c>
      <c r="G448" s="185"/>
      <c r="H448" s="185"/>
      <c r="I448" s="185"/>
      <c r="K448" s="141" t="str">
        <f t="shared" si="36"/>
        <v/>
      </c>
      <c r="L448" s="141" t="str">
        <f t="shared" si="37"/>
        <v/>
      </c>
    </row>
    <row r="449" spans="1:12">
      <c r="A449" s="139" t="str">
        <f>IF(E449="","",VLOOKUP('Opći dio'!$C$3,'Opći dio'!$L$6:$U$136,10,FALSE))</f>
        <v/>
      </c>
      <c r="B449" s="139" t="str">
        <f>IF(E449="","",VLOOKUP('Opći dio'!$C$3,'Opći dio'!$L$6:$U$136,9,FALSE))</f>
        <v/>
      </c>
      <c r="C449" s="187" t="str">
        <f t="shared" si="33"/>
        <v/>
      </c>
      <c r="D449" s="138" t="str">
        <f t="shared" si="34"/>
        <v/>
      </c>
      <c r="E449" s="150"/>
      <c r="F449" s="191" t="str">
        <f t="shared" si="35"/>
        <v/>
      </c>
      <c r="G449" s="185"/>
      <c r="H449" s="185"/>
      <c r="I449" s="185"/>
      <c r="K449" s="141" t="str">
        <f t="shared" si="36"/>
        <v/>
      </c>
      <c r="L449" s="141" t="str">
        <f t="shared" si="37"/>
        <v/>
      </c>
    </row>
    <row r="450" spans="1:12">
      <c r="A450" s="139" t="str">
        <f>IF(E450="","",VLOOKUP('Opći dio'!$C$3,'Opći dio'!$L$6:$U$136,10,FALSE))</f>
        <v/>
      </c>
      <c r="B450" s="139" t="str">
        <f>IF(E450="","",VLOOKUP('Opći dio'!$C$3,'Opći dio'!$L$6:$U$136,9,FALSE))</f>
        <v/>
      </c>
      <c r="C450" s="187" t="str">
        <f t="shared" si="33"/>
        <v/>
      </c>
      <c r="D450" s="138" t="str">
        <f t="shared" si="34"/>
        <v/>
      </c>
      <c r="E450" s="150"/>
      <c r="F450" s="191" t="str">
        <f t="shared" si="35"/>
        <v/>
      </c>
      <c r="G450" s="185"/>
      <c r="H450" s="185"/>
      <c r="I450" s="185"/>
      <c r="K450" s="141" t="str">
        <f t="shared" si="36"/>
        <v/>
      </c>
      <c r="L450" s="141" t="str">
        <f t="shared" si="37"/>
        <v/>
      </c>
    </row>
    <row r="451" spans="1:12">
      <c r="A451" s="139" t="str">
        <f>IF(E451="","",VLOOKUP('Opći dio'!$C$3,'Opći dio'!$L$6:$U$136,10,FALSE))</f>
        <v/>
      </c>
      <c r="B451" s="139" t="str">
        <f>IF(E451="","",VLOOKUP('Opći dio'!$C$3,'Opći dio'!$L$6:$U$136,9,FALSE))</f>
        <v/>
      </c>
      <c r="C451" s="187" t="str">
        <f t="shared" si="33"/>
        <v/>
      </c>
      <c r="D451" s="138" t="str">
        <f t="shared" si="34"/>
        <v/>
      </c>
      <c r="E451" s="150"/>
      <c r="F451" s="191" t="str">
        <f t="shared" si="35"/>
        <v/>
      </c>
      <c r="G451" s="185"/>
      <c r="H451" s="185"/>
      <c r="I451" s="185"/>
      <c r="K451" s="141" t="str">
        <f t="shared" si="36"/>
        <v/>
      </c>
      <c r="L451" s="141" t="str">
        <f t="shared" si="37"/>
        <v/>
      </c>
    </row>
    <row r="452" spans="1:12">
      <c r="A452" s="139" t="str">
        <f>IF(E452="","",VLOOKUP('Opći dio'!$C$3,'Opći dio'!$L$6:$U$136,10,FALSE))</f>
        <v/>
      </c>
      <c r="B452" s="139" t="str">
        <f>IF(E452="","",VLOOKUP('Opći dio'!$C$3,'Opći dio'!$L$6:$U$136,9,FALSE))</f>
        <v/>
      </c>
      <c r="C452" s="187" t="str">
        <f t="shared" ref="C452:C501" si="38">IFERROR(VLOOKUP(E452,$Q$6:$T$200,3,FALSE),"")</f>
        <v/>
      </c>
      <c r="D452" s="138" t="str">
        <f t="shared" ref="D452:D501" si="39">IFERROR(VLOOKUP(E452,$Q$6:$T$200,4,FALSE),"")</f>
        <v/>
      </c>
      <c r="E452" s="150"/>
      <c r="F452" s="191" t="str">
        <f t="shared" ref="F452:F501" si="40">IFERROR(VLOOKUP(E452,$Q$6:$T$200,2,FALSE),"")</f>
        <v/>
      </c>
      <c r="G452" s="185"/>
      <c r="H452" s="185"/>
      <c r="I452" s="185"/>
      <c r="K452" s="141" t="str">
        <f t="shared" ref="K452:K501" si="41">LEFT(E452,3)</f>
        <v/>
      </c>
      <c r="L452" s="141" t="str">
        <f t="shared" ref="L452:L501" si="42">LEFT(E452,2)</f>
        <v/>
      </c>
    </row>
    <row r="453" spans="1:12">
      <c r="A453" s="139" t="str">
        <f>IF(E453="","",VLOOKUP('Opći dio'!$C$3,'Opći dio'!$L$6:$U$136,10,FALSE))</f>
        <v/>
      </c>
      <c r="B453" s="139" t="str">
        <f>IF(E453="","",VLOOKUP('Opći dio'!$C$3,'Opći dio'!$L$6:$U$136,9,FALSE))</f>
        <v/>
      </c>
      <c r="C453" s="187" t="str">
        <f t="shared" si="38"/>
        <v/>
      </c>
      <c r="D453" s="138" t="str">
        <f t="shared" si="39"/>
        <v/>
      </c>
      <c r="E453" s="150"/>
      <c r="F453" s="191" t="str">
        <f t="shared" si="40"/>
        <v/>
      </c>
      <c r="G453" s="185"/>
      <c r="H453" s="185"/>
      <c r="I453" s="185"/>
      <c r="K453" s="141" t="str">
        <f t="shared" si="41"/>
        <v/>
      </c>
      <c r="L453" s="141" t="str">
        <f t="shared" si="42"/>
        <v/>
      </c>
    </row>
    <row r="454" spans="1:12">
      <c r="A454" s="139" t="str">
        <f>IF(E454="","",VLOOKUP('Opći dio'!$C$3,'Opći dio'!$L$6:$U$136,10,FALSE))</f>
        <v/>
      </c>
      <c r="B454" s="139" t="str">
        <f>IF(E454="","",VLOOKUP('Opći dio'!$C$3,'Opći dio'!$L$6:$U$136,9,FALSE))</f>
        <v/>
      </c>
      <c r="C454" s="187" t="str">
        <f t="shared" si="38"/>
        <v/>
      </c>
      <c r="D454" s="138" t="str">
        <f t="shared" si="39"/>
        <v/>
      </c>
      <c r="E454" s="150"/>
      <c r="F454" s="191" t="str">
        <f t="shared" si="40"/>
        <v/>
      </c>
      <c r="G454" s="185"/>
      <c r="H454" s="185"/>
      <c r="I454" s="185"/>
      <c r="K454" s="141" t="str">
        <f t="shared" si="41"/>
        <v/>
      </c>
      <c r="L454" s="141" t="str">
        <f t="shared" si="42"/>
        <v/>
      </c>
    </row>
    <row r="455" spans="1:12">
      <c r="A455" s="139" t="str">
        <f>IF(E455="","",VLOOKUP('Opći dio'!$C$3,'Opći dio'!$L$6:$U$136,10,FALSE))</f>
        <v/>
      </c>
      <c r="B455" s="139" t="str">
        <f>IF(E455="","",VLOOKUP('Opći dio'!$C$3,'Opći dio'!$L$6:$U$136,9,FALSE))</f>
        <v/>
      </c>
      <c r="C455" s="187" t="str">
        <f t="shared" si="38"/>
        <v/>
      </c>
      <c r="D455" s="138" t="str">
        <f t="shared" si="39"/>
        <v/>
      </c>
      <c r="E455" s="150"/>
      <c r="F455" s="191" t="str">
        <f t="shared" si="40"/>
        <v/>
      </c>
      <c r="G455" s="185"/>
      <c r="H455" s="185"/>
      <c r="I455" s="185"/>
      <c r="K455" s="141" t="str">
        <f t="shared" si="41"/>
        <v/>
      </c>
      <c r="L455" s="141" t="str">
        <f t="shared" si="42"/>
        <v/>
      </c>
    </row>
    <row r="456" spans="1:12">
      <c r="A456" s="139" t="str">
        <f>IF(E456="","",VLOOKUP('Opći dio'!$C$3,'Opći dio'!$L$6:$U$136,10,FALSE))</f>
        <v/>
      </c>
      <c r="B456" s="139" t="str">
        <f>IF(E456="","",VLOOKUP('Opći dio'!$C$3,'Opći dio'!$L$6:$U$136,9,FALSE))</f>
        <v/>
      </c>
      <c r="C456" s="187" t="str">
        <f t="shared" si="38"/>
        <v/>
      </c>
      <c r="D456" s="138" t="str">
        <f t="shared" si="39"/>
        <v/>
      </c>
      <c r="E456" s="150"/>
      <c r="F456" s="191" t="str">
        <f t="shared" si="40"/>
        <v/>
      </c>
      <c r="G456" s="185"/>
      <c r="H456" s="185"/>
      <c r="I456" s="185"/>
      <c r="K456" s="141" t="str">
        <f t="shared" si="41"/>
        <v/>
      </c>
      <c r="L456" s="141" t="str">
        <f t="shared" si="42"/>
        <v/>
      </c>
    </row>
    <row r="457" spans="1:12">
      <c r="A457" s="139" t="str">
        <f>IF(E457="","",VLOOKUP('Opći dio'!$C$3,'Opći dio'!$L$6:$U$136,10,FALSE))</f>
        <v/>
      </c>
      <c r="B457" s="139" t="str">
        <f>IF(E457="","",VLOOKUP('Opći dio'!$C$3,'Opći dio'!$L$6:$U$136,9,FALSE))</f>
        <v/>
      </c>
      <c r="C457" s="187" t="str">
        <f t="shared" si="38"/>
        <v/>
      </c>
      <c r="D457" s="138" t="str">
        <f t="shared" si="39"/>
        <v/>
      </c>
      <c r="E457" s="150"/>
      <c r="F457" s="191" t="str">
        <f t="shared" si="40"/>
        <v/>
      </c>
      <c r="G457" s="185"/>
      <c r="H457" s="185"/>
      <c r="I457" s="185"/>
      <c r="K457" s="141" t="str">
        <f t="shared" si="41"/>
        <v/>
      </c>
      <c r="L457" s="141" t="str">
        <f t="shared" si="42"/>
        <v/>
      </c>
    </row>
    <row r="458" spans="1:12">
      <c r="A458" s="139" t="str">
        <f>IF(E458="","",VLOOKUP('Opći dio'!$C$3,'Opći dio'!$L$6:$U$136,10,FALSE))</f>
        <v/>
      </c>
      <c r="B458" s="139" t="str">
        <f>IF(E458="","",VLOOKUP('Opći dio'!$C$3,'Opći dio'!$L$6:$U$136,9,FALSE))</f>
        <v/>
      </c>
      <c r="C458" s="187" t="str">
        <f t="shared" si="38"/>
        <v/>
      </c>
      <c r="D458" s="138" t="str">
        <f t="shared" si="39"/>
        <v/>
      </c>
      <c r="E458" s="150"/>
      <c r="F458" s="191" t="str">
        <f t="shared" si="40"/>
        <v/>
      </c>
      <c r="G458" s="185"/>
      <c r="H458" s="185"/>
      <c r="I458" s="185"/>
      <c r="K458" s="141" t="str">
        <f t="shared" si="41"/>
        <v/>
      </c>
      <c r="L458" s="141" t="str">
        <f t="shared" si="42"/>
        <v/>
      </c>
    </row>
    <row r="459" spans="1:12">
      <c r="A459" s="139" t="str">
        <f>IF(E459="","",VLOOKUP('Opći dio'!$C$3,'Opći dio'!$L$6:$U$136,10,FALSE))</f>
        <v/>
      </c>
      <c r="B459" s="139" t="str">
        <f>IF(E459="","",VLOOKUP('Opći dio'!$C$3,'Opći dio'!$L$6:$U$136,9,FALSE))</f>
        <v/>
      </c>
      <c r="C459" s="187" t="str">
        <f t="shared" si="38"/>
        <v/>
      </c>
      <c r="D459" s="138" t="str">
        <f t="shared" si="39"/>
        <v/>
      </c>
      <c r="E459" s="150"/>
      <c r="F459" s="191" t="str">
        <f t="shared" si="40"/>
        <v/>
      </c>
      <c r="G459" s="185"/>
      <c r="H459" s="185"/>
      <c r="I459" s="185"/>
      <c r="K459" s="141" t="str">
        <f t="shared" si="41"/>
        <v/>
      </c>
      <c r="L459" s="141" t="str">
        <f t="shared" si="42"/>
        <v/>
      </c>
    </row>
    <row r="460" spans="1:12">
      <c r="A460" s="139" t="str">
        <f>IF(E460="","",VLOOKUP('Opći dio'!$C$3,'Opći dio'!$L$6:$U$136,10,FALSE))</f>
        <v/>
      </c>
      <c r="B460" s="139" t="str">
        <f>IF(E460="","",VLOOKUP('Opći dio'!$C$3,'Opći dio'!$L$6:$U$136,9,FALSE))</f>
        <v/>
      </c>
      <c r="C460" s="187" t="str">
        <f t="shared" si="38"/>
        <v/>
      </c>
      <c r="D460" s="138" t="str">
        <f t="shared" si="39"/>
        <v/>
      </c>
      <c r="E460" s="150"/>
      <c r="F460" s="191" t="str">
        <f t="shared" si="40"/>
        <v/>
      </c>
      <c r="G460" s="185"/>
      <c r="H460" s="185"/>
      <c r="I460" s="185"/>
      <c r="K460" s="141" t="str">
        <f t="shared" si="41"/>
        <v/>
      </c>
      <c r="L460" s="141" t="str">
        <f t="shared" si="42"/>
        <v/>
      </c>
    </row>
    <row r="461" spans="1:12">
      <c r="A461" s="139" t="str">
        <f>IF(E461="","",VLOOKUP('Opći dio'!$C$3,'Opći dio'!$L$6:$U$136,10,FALSE))</f>
        <v/>
      </c>
      <c r="B461" s="139" t="str">
        <f>IF(E461="","",VLOOKUP('Opći dio'!$C$3,'Opći dio'!$L$6:$U$136,9,FALSE))</f>
        <v/>
      </c>
      <c r="C461" s="187" t="str">
        <f t="shared" si="38"/>
        <v/>
      </c>
      <c r="D461" s="138" t="str">
        <f t="shared" si="39"/>
        <v/>
      </c>
      <c r="E461" s="150"/>
      <c r="F461" s="191" t="str">
        <f t="shared" si="40"/>
        <v/>
      </c>
      <c r="G461" s="185"/>
      <c r="H461" s="185"/>
      <c r="I461" s="185"/>
      <c r="K461" s="141" t="str">
        <f t="shared" si="41"/>
        <v/>
      </c>
      <c r="L461" s="141" t="str">
        <f t="shared" si="42"/>
        <v/>
      </c>
    </row>
    <row r="462" spans="1:12">
      <c r="A462" s="139" t="str">
        <f>IF(E462="","",VLOOKUP('Opći dio'!$C$3,'Opći dio'!$L$6:$U$136,10,FALSE))</f>
        <v/>
      </c>
      <c r="B462" s="139" t="str">
        <f>IF(E462="","",VLOOKUP('Opći dio'!$C$3,'Opći dio'!$L$6:$U$136,9,FALSE))</f>
        <v/>
      </c>
      <c r="C462" s="187" t="str">
        <f t="shared" si="38"/>
        <v/>
      </c>
      <c r="D462" s="138" t="str">
        <f t="shared" si="39"/>
        <v/>
      </c>
      <c r="E462" s="150"/>
      <c r="F462" s="191" t="str">
        <f t="shared" si="40"/>
        <v/>
      </c>
      <c r="G462" s="185"/>
      <c r="H462" s="185"/>
      <c r="I462" s="185"/>
      <c r="K462" s="141" t="str">
        <f t="shared" si="41"/>
        <v/>
      </c>
      <c r="L462" s="141" t="str">
        <f t="shared" si="42"/>
        <v/>
      </c>
    </row>
    <row r="463" spans="1:12">
      <c r="A463" s="139" t="str">
        <f>IF(E463="","",VLOOKUP('Opći dio'!$C$3,'Opći dio'!$L$6:$U$136,10,FALSE))</f>
        <v/>
      </c>
      <c r="B463" s="139" t="str">
        <f>IF(E463="","",VLOOKUP('Opći dio'!$C$3,'Opći dio'!$L$6:$U$136,9,FALSE))</f>
        <v/>
      </c>
      <c r="C463" s="187" t="str">
        <f t="shared" si="38"/>
        <v/>
      </c>
      <c r="D463" s="138" t="str">
        <f t="shared" si="39"/>
        <v/>
      </c>
      <c r="E463" s="150"/>
      <c r="F463" s="191" t="str">
        <f t="shared" si="40"/>
        <v/>
      </c>
      <c r="G463" s="185"/>
      <c r="H463" s="185"/>
      <c r="I463" s="185"/>
      <c r="K463" s="141" t="str">
        <f t="shared" si="41"/>
        <v/>
      </c>
      <c r="L463" s="141" t="str">
        <f t="shared" si="42"/>
        <v/>
      </c>
    </row>
    <row r="464" spans="1:12">
      <c r="A464" s="139" t="str">
        <f>IF(E464="","",VLOOKUP('Opći dio'!$C$3,'Opći dio'!$L$6:$U$136,10,FALSE))</f>
        <v/>
      </c>
      <c r="B464" s="139" t="str">
        <f>IF(E464="","",VLOOKUP('Opći dio'!$C$3,'Opći dio'!$L$6:$U$136,9,FALSE))</f>
        <v/>
      </c>
      <c r="C464" s="187" t="str">
        <f t="shared" si="38"/>
        <v/>
      </c>
      <c r="D464" s="138" t="str">
        <f t="shared" si="39"/>
        <v/>
      </c>
      <c r="E464" s="150"/>
      <c r="F464" s="191" t="str">
        <f t="shared" si="40"/>
        <v/>
      </c>
      <c r="G464" s="185"/>
      <c r="H464" s="185"/>
      <c r="I464" s="185"/>
      <c r="K464" s="141" t="str">
        <f t="shared" si="41"/>
        <v/>
      </c>
      <c r="L464" s="141" t="str">
        <f t="shared" si="42"/>
        <v/>
      </c>
    </row>
    <row r="465" spans="1:12">
      <c r="A465" s="139" t="str">
        <f>IF(E465="","",VLOOKUP('Opći dio'!$C$3,'Opći dio'!$L$6:$U$136,10,FALSE))</f>
        <v/>
      </c>
      <c r="B465" s="139" t="str">
        <f>IF(E465="","",VLOOKUP('Opći dio'!$C$3,'Opći dio'!$L$6:$U$136,9,FALSE))</f>
        <v/>
      </c>
      <c r="C465" s="187" t="str">
        <f t="shared" si="38"/>
        <v/>
      </c>
      <c r="D465" s="138" t="str">
        <f t="shared" si="39"/>
        <v/>
      </c>
      <c r="E465" s="150"/>
      <c r="F465" s="191" t="str">
        <f t="shared" si="40"/>
        <v/>
      </c>
      <c r="G465" s="185"/>
      <c r="H465" s="185"/>
      <c r="I465" s="185"/>
      <c r="K465" s="141" t="str">
        <f t="shared" si="41"/>
        <v/>
      </c>
      <c r="L465" s="141" t="str">
        <f t="shared" si="42"/>
        <v/>
      </c>
    </row>
    <row r="466" spans="1:12">
      <c r="A466" s="139" t="str">
        <f>IF(E466="","",VLOOKUP('Opći dio'!$C$3,'Opći dio'!$L$6:$U$136,10,FALSE))</f>
        <v/>
      </c>
      <c r="B466" s="139" t="str">
        <f>IF(E466="","",VLOOKUP('Opći dio'!$C$3,'Opći dio'!$L$6:$U$136,9,FALSE))</f>
        <v/>
      </c>
      <c r="C466" s="187" t="str">
        <f t="shared" si="38"/>
        <v/>
      </c>
      <c r="D466" s="138" t="str">
        <f t="shared" si="39"/>
        <v/>
      </c>
      <c r="E466" s="150"/>
      <c r="F466" s="191" t="str">
        <f t="shared" si="40"/>
        <v/>
      </c>
      <c r="G466" s="185"/>
      <c r="H466" s="185"/>
      <c r="I466" s="185"/>
      <c r="K466" s="141" t="str">
        <f t="shared" si="41"/>
        <v/>
      </c>
      <c r="L466" s="141" t="str">
        <f t="shared" si="42"/>
        <v/>
      </c>
    </row>
    <row r="467" spans="1:12">
      <c r="A467" s="139" t="str">
        <f>IF(E467="","",VLOOKUP('Opći dio'!$C$3,'Opći dio'!$L$6:$U$136,10,FALSE))</f>
        <v/>
      </c>
      <c r="B467" s="139" t="str">
        <f>IF(E467="","",VLOOKUP('Opći dio'!$C$3,'Opći dio'!$L$6:$U$136,9,FALSE))</f>
        <v/>
      </c>
      <c r="C467" s="187" t="str">
        <f t="shared" si="38"/>
        <v/>
      </c>
      <c r="D467" s="138" t="str">
        <f t="shared" si="39"/>
        <v/>
      </c>
      <c r="E467" s="150"/>
      <c r="F467" s="191" t="str">
        <f t="shared" si="40"/>
        <v/>
      </c>
      <c r="G467" s="185"/>
      <c r="H467" s="185"/>
      <c r="I467" s="185"/>
      <c r="K467" s="141" t="str">
        <f t="shared" si="41"/>
        <v/>
      </c>
      <c r="L467" s="141" t="str">
        <f t="shared" si="42"/>
        <v/>
      </c>
    </row>
    <row r="468" spans="1:12">
      <c r="A468" s="139" t="str">
        <f>IF(E468="","",VLOOKUP('Opći dio'!$C$3,'Opći dio'!$L$6:$U$136,10,FALSE))</f>
        <v/>
      </c>
      <c r="B468" s="139" t="str">
        <f>IF(E468="","",VLOOKUP('Opći dio'!$C$3,'Opći dio'!$L$6:$U$136,9,FALSE))</f>
        <v/>
      </c>
      <c r="C468" s="187" t="str">
        <f t="shared" si="38"/>
        <v/>
      </c>
      <c r="D468" s="138" t="str">
        <f t="shared" si="39"/>
        <v/>
      </c>
      <c r="E468" s="150"/>
      <c r="F468" s="191" t="str">
        <f t="shared" si="40"/>
        <v/>
      </c>
      <c r="G468" s="185"/>
      <c r="H468" s="185"/>
      <c r="I468" s="185"/>
      <c r="K468" s="141" t="str">
        <f t="shared" si="41"/>
        <v/>
      </c>
      <c r="L468" s="141" t="str">
        <f t="shared" si="42"/>
        <v/>
      </c>
    </row>
    <row r="469" spans="1:12">
      <c r="A469" s="139" t="str">
        <f>IF(E469="","",VLOOKUP('Opći dio'!$C$3,'Opći dio'!$L$6:$U$136,10,FALSE))</f>
        <v/>
      </c>
      <c r="B469" s="139" t="str">
        <f>IF(E469="","",VLOOKUP('Opći dio'!$C$3,'Opći dio'!$L$6:$U$136,9,FALSE))</f>
        <v/>
      </c>
      <c r="C469" s="187" t="str">
        <f t="shared" si="38"/>
        <v/>
      </c>
      <c r="D469" s="138" t="str">
        <f t="shared" si="39"/>
        <v/>
      </c>
      <c r="E469" s="150"/>
      <c r="F469" s="191" t="str">
        <f t="shared" si="40"/>
        <v/>
      </c>
      <c r="G469" s="185"/>
      <c r="H469" s="185"/>
      <c r="I469" s="185"/>
      <c r="K469" s="141" t="str">
        <f t="shared" si="41"/>
        <v/>
      </c>
      <c r="L469" s="141" t="str">
        <f t="shared" si="42"/>
        <v/>
      </c>
    </row>
    <row r="470" spans="1:12">
      <c r="A470" s="139" t="str">
        <f>IF(E470="","",VLOOKUP('Opći dio'!$C$3,'Opći dio'!$L$6:$U$136,10,FALSE))</f>
        <v/>
      </c>
      <c r="B470" s="139" t="str">
        <f>IF(E470="","",VLOOKUP('Opći dio'!$C$3,'Opći dio'!$L$6:$U$136,9,FALSE))</f>
        <v/>
      </c>
      <c r="C470" s="187" t="str">
        <f t="shared" si="38"/>
        <v/>
      </c>
      <c r="D470" s="138" t="str">
        <f t="shared" si="39"/>
        <v/>
      </c>
      <c r="E470" s="150"/>
      <c r="F470" s="191" t="str">
        <f t="shared" si="40"/>
        <v/>
      </c>
      <c r="G470" s="185"/>
      <c r="H470" s="185"/>
      <c r="I470" s="185"/>
      <c r="K470" s="141" t="str">
        <f t="shared" si="41"/>
        <v/>
      </c>
      <c r="L470" s="141" t="str">
        <f t="shared" si="42"/>
        <v/>
      </c>
    </row>
    <row r="471" spans="1:12">
      <c r="A471" s="139" t="str">
        <f>IF(E471="","",VLOOKUP('Opći dio'!$C$3,'Opći dio'!$L$6:$U$136,10,FALSE))</f>
        <v/>
      </c>
      <c r="B471" s="139" t="str">
        <f>IF(E471="","",VLOOKUP('Opći dio'!$C$3,'Opći dio'!$L$6:$U$136,9,FALSE))</f>
        <v/>
      </c>
      <c r="C471" s="187" t="str">
        <f t="shared" si="38"/>
        <v/>
      </c>
      <c r="D471" s="138" t="str">
        <f t="shared" si="39"/>
        <v/>
      </c>
      <c r="E471" s="150"/>
      <c r="F471" s="191" t="str">
        <f t="shared" si="40"/>
        <v/>
      </c>
      <c r="G471" s="185"/>
      <c r="H471" s="185"/>
      <c r="I471" s="185"/>
      <c r="K471" s="141" t="str">
        <f t="shared" si="41"/>
        <v/>
      </c>
      <c r="L471" s="141" t="str">
        <f t="shared" si="42"/>
        <v/>
      </c>
    </row>
    <row r="472" spans="1:12">
      <c r="A472" s="139" t="str">
        <f>IF(E472="","",VLOOKUP('Opći dio'!$C$3,'Opći dio'!$L$6:$U$136,10,FALSE))</f>
        <v/>
      </c>
      <c r="B472" s="139" t="str">
        <f>IF(E472="","",VLOOKUP('Opći dio'!$C$3,'Opći dio'!$L$6:$U$136,9,FALSE))</f>
        <v/>
      </c>
      <c r="C472" s="187" t="str">
        <f t="shared" si="38"/>
        <v/>
      </c>
      <c r="D472" s="138" t="str">
        <f t="shared" si="39"/>
        <v/>
      </c>
      <c r="E472" s="150"/>
      <c r="F472" s="191" t="str">
        <f t="shared" si="40"/>
        <v/>
      </c>
      <c r="G472" s="185"/>
      <c r="H472" s="185"/>
      <c r="I472" s="185"/>
      <c r="K472" s="141" t="str">
        <f t="shared" si="41"/>
        <v/>
      </c>
      <c r="L472" s="141" t="str">
        <f t="shared" si="42"/>
        <v/>
      </c>
    </row>
    <row r="473" spans="1:12">
      <c r="A473" s="139" t="str">
        <f>IF(E473="","",VLOOKUP('Opći dio'!$C$3,'Opći dio'!$L$6:$U$136,10,FALSE))</f>
        <v/>
      </c>
      <c r="B473" s="139" t="str">
        <f>IF(E473="","",VLOOKUP('Opći dio'!$C$3,'Opći dio'!$L$6:$U$136,9,FALSE))</f>
        <v/>
      </c>
      <c r="C473" s="187" t="str">
        <f t="shared" si="38"/>
        <v/>
      </c>
      <c r="D473" s="138" t="str">
        <f t="shared" si="39"/>
        <v/>
      </c>
      <c r="E473" s="150"/>
      <c r="F473" s="191" t="str">
        <f t="shared" si="40"/>
        <v/>
      </c>
      <c r="G473" s="185"/>
      <c r="H473" s="185"/>
      <c r="I473" s="185"/>
      <c r="K473" s="141" t="str">
        <f t="shared" si="41"/>
        <v/>
      </c>
      <c r="L473" s="141" t="str">
        <f t="shared" si="42"/>
        <v/>
      </c>
    </row>
    <row r="474" spans="1:12">
      <c r="A474" s="139" t="str">
        <f>IF(E474="","",VLOOKUP('Opći dio'!$C$3,'Opći dio'!$L$6:$U$136,10,FALSE))</f>
        <v/>
      </c>
      <c r="B474" s="139" t="str">
        <f>IF(E474="","",VLOOKUP('Opći dio'!$C$3,'Opći dio'!$L$6:$U$136,9,FALSE))</f>
        <v/>
      </c>
      <c r="C474" s="187" t="str">
        <f t="shared" si="38"/>
        <v/>
      </c>
      <c r="D474" s="138" t="str">
        <f t="shared" si="39"/>
        <v/>
      </c>
      <c r="E474" s="150"/>
      <c r="F474" s="191" t="str">
        <f t="shared" si="40"/>
        <v/>
      </c>
      <c r="G474" s="185"/>
      <c r="H474" s="185"/>
      <c r="I474" s="185"/>
      <c r="K474" s="141" t="str">
        <f t="shared" si="41"/>
        <v/>
      </c>
      <c r="L474" s="141" t="str">
        <f t="shared" si="42"/>
        <v/>
      </c>
    </row>
    <row r="475" spans="1:12">
      <c r="A475" s="139" t="str">
        <f>IF(E475="","",VLOOKUP('Opći dio'!$C$3,'Opći dio'!$L$6:$U$136,10,FALSE))</f>
        <v/>
      </c>
      <c r="B475" s="139" t="str">
        <f>IF(E475="","",VLOOKUP('Opći dio'!$C$3,'Opći dio'!$L$6:$U$136,9,FALSE))</f>
        <v/>
      </c>
      <c r="C475" s="187" t="str">
        <f t="shared" si="38"/>
        <v/>
      </c>
      <c r="D475" s="138" t="str">
        <f t="shared" si="39"/>
        <v/>
      </c>
      <c r="E475" s="150"/>
      <c r="F475" s="191" t="str">
        <f t="shared" si="40"/>
        <v/>
      </c>
      <c r="G475" s="185"/>
      <c r="H475" s="185"/>
      <c r="I475" s="185"/>
      <c r="K475" s="141" t="str">
        <f t="shared" si="41"/>
        <v/>
      </c>
      <c r="L475" s="141" t="str">
        <f t="shared" si="42"/>
        <v/>
      </c>
    </row>
    <row r="476" spans="1:12">
      <c r="A476" s="139" t="str">
        <f>IF(E476="","",VLOOKUP('Opći dio'!$C$3,'Opći dio'!$L$6:$U$136,10,FALSE))</f>
        <v/>
      </c>
      <c r="B476" s="139" t="str">
        <f>IF(E476="","",VLOOKUP('Opći dio'!$C$3,'Opći dio'!$L$6:$U$136,9,FALSE))</f>
        <v/>
      </c>
      <c r="C476" s="187" t="str">
        <f t="shared" si="38"/>
        <v/>
      </c>
      <c r="D476" s="138" t="str">
        <f t="shared" si="39"/>
        <v/>
      </c>
      <c r="E476" s="150"/>
      <c r="F476" s="191" t="str">
        <f t="shared" si="40"/>
        <v/>
      </c>
      <c r="G476" s="185"/>
      <c r="H476" s="185"/>
      <c r="I476" s="185"/>
      <c r="K476" s="141" t="str">
        <f t="shared" si="41"/>
        <v/>
      </c>
      <c r="L476" s="141" t="str">
        <f t="shared" si="42"/>
        <v/>
      </c>
    </row>
    <row r="477" spans="1:12">
      <c r="A477" s="139" t="str">
        <f>IF(E477="","",VLOOKUP('Opći dio'!$C$3,'Opći dio'!$L$6:$U$136,10,FALSE))</f>
        <v/>
      </c>
      <c r="B477" s="139" t="str">
        <f>IF(E477="","",VLOOKUP('Opći dio'!$C$3,'Opći dio'!$L$6:$U$136,9,FALSE))</f>
        <v/>
      </c>
      <c r="C477" s="187" t="str">
        <f t="shared" si="38"/>
        <v/>
      </c>
      <c r="D477" s="138" t="str">
        <f t="shared" si="39"/>
        <v/>
      </c>
      <c r="E477" s="150"/>
      <c r="F477" s="191" t="str">
        <f t="shared" si="40"/>
        <v/>
      </c>
      <c r="G477" s="185"/>
      <c r="H477" s="185"/>
      <c r="I477" s="185"/>
      <c r="K477" s="141" t="str">
        <f t="shared" si="41"/>
        <v/>
      </c>
      <c r="L477" s="141" t="str">
        <f t="shared" si="42"/>
        <v/>
      </c>
    </row>
    <row r="478" spans="1:12">
      <c r="A478" s="139" t="str">
        <f>IF(E478="","",VLOOKUP('Opći dio'!$C$3,'Opći dio'!$L$6:$U$136,10,FALSE))</f>
        <v/>
      </c>
      <c r="B478" s="139" t="str">
        <f>IF(E478="","",VLOOKUP('Opći dio'!$C$3,'Opći dio'!$L$6:$U$136,9,FALSE))</f>
        <v/>
      </c>
      <c r="C478" s="187" t="str">
        <f t="shared" si="38"/>
        <v/>
      </c>
      <c r="D478" s="138" t="str">
        <f t="shared" si="39"/>
        <v/>
      </c>
      <c r="E478" s="150"/>
      <c r="F478" s="191" t="str">
        <f t="shared" si="40"/>
        <v/>
      </c>
      <c r="G478" s="185"/>
      <c r="H478" s="185"/>
      <c r="I478" s="185"/>
      <c r="K478" s="141" t="str">
        <f t="shared" si="41"/>
        <v/>
      </c>
      <c r="L478" s="141" t="str">
        <f t="shared" si="42"/>
        <v/>
      </c>
    </row>
    <row r="479" spans="1:12">
      <c r="A479" s="139" t="str">
        <f>IF(E479="","",VLOOKUP('Opći dio'!$C$3,'Opći dio'!$L$6:$U$136,10,FALSE))</f>
        <v/>
      </c>
      <c r="B479" s="139" t="str">
        <f>IF(E479="","",VLOOKUP('Opći dio'!$C$3,'Opći dio'!$L$6:$U$136,9,FALSE))</f>
        <v/>
      </c>
      <c r="C479" s="187" t="str">
        <f t="shared" si="38"/>
        <v/>
      </c>
      <c r="D479" s="138" t="str">
        <f t="shared" si="39"/>
        <v/>
      </c>
      <c r="E479" s="150"/>
      <c r="F479" s="191" t="str">
        <f t="shared" si="40"/>
        <v/>
      </c>
      <c r="G479" s="185"/>
      <c r="H479" s="185"/>
      <c r="I479" s="185"/>
      <c r="K479" s="141" t="str">
        <f t="shared" si="41"/>
        <v/>
      </c>
      <c r="L479" s="141" t="str">
        <f t="shared" si="42"/>
        <v/>
      </c>
    </row>
    <row r="480" spans="1:12">
      <c r="A480" s="139" t="str">
        <f>IF(E480="","",VLOOKUP('Opći dio'!$C$3,'Opći dio'!$L$6:$U$136,10,FALSE))</f>
        <v/>
      </c>
      <c r="B480" s="139" t="str">
        <f>IF(E480="","",VLOOKUP('Opći dio'!$C$3,'Opći dio'!$L$6:$U$136,9,FALSE))</f>
        <v/>
      </c>
      <c r="C480" s="187" t="str">
        <f t="shared" si="38"/>
        <v/>
      </c>
      <c r="D480" s="138" t="str">
        <f t="shared" si="39"/>
        <v/>
      </c>
      <c r="E480" s="150"/>
      <c r="F480" s="191" t="str">
        <f t="shared" si="40"/>
        <v/>
      </c>
      <c r="G480" s="185"/>
      <c r="H480" s="185"/>
      <c r="I480" s="185"/>
      <c r="K480" s="141" t="str">
        <f t="shared" si="41"/>
        <v/>
      </c>
      <c r="L480" s="141" t="str">
        <f t="shared" si="42"/>
        <v/>
      </c>
    </row>
    <row r="481" spans="1:12">
      <c r="A481" s="139" t="str">
        <f>IF(E481="","",VLOOKUP('Opći dio'!$C$3,'Opći dio'!$L$6:$U$136,10,FALSE))</f>
        <v/>
      </c>
      <c r="B481" s="139" t="str">
        <f>IF(E481="","",VLOOKUP('Opći dio'!$C$3,'Opći dio'!$L$6:$U$136,9,FALSE))</f>
        <v/>
      </c>
      <c r="C481" s="187" t="str">
        <f t="shared" si="38"/>
        <v/>
      </c>
      <c r="D481" s="138" t="str">
        <f t="shared" si="39"/>
        <v/>
      </c>
      <c r="E481" s="150"/>
      <c r="F481" s="191" t="str">
        <f t="shared" si="40"/>
        <v/>
      </c>
      <c r="G481" s="185"/>
      <c r="H481" s="185"/>
      <c r="I481" s="185"/>
      <c r="K481" s="141" t="str">
        <f t="shared" si="41"/>
        <v/>
      </c>
      <c r="L481" s="141" t="str">
        <f t="shared" si="42"/>
        <v/>
      </c>
    </row>
    <row r="482" spans="1:12">
      <c r="A482" s="139" t="str">
        <f>IF(E482="","",VLOOKUP('Opći dio'!$C$3,'Opći dio'!$L$6:$U$136,10,FALSE))</f>
        <v/>
      </c>
      <c r="B482" s="139" t="str">
        <f>IF(E482="","",VLOOKUP('Opći dio'!$C$3,'Opći dio'!$L$6:$U$136,9,FALSE))</f>
        <v/>
      </c>
      <c r="C482" s="187" t="str">
        <f t="shared" si="38"/>
        <v/>
      </c>
      <c r="D482" s="138" t="str">
        <f t="shared" si="39"/>
        <v/>
      </c>
      <c r="E482" s="150"/>
      <c r="F482" s="191" t="str">
        <f t="shared" si="40"/>
        <v/>
      </c>
      <c r="G482" s="185"/>
      <c r="H482" s="185"/>
      <c r="I482" s="185"/>
      <c r="K482" s="141" t="str">
        <f t="shared" si="41"/>
        <v/>
      </c>
      <c r="L482" s="141" t="str">
        <f t="shared" si="42"/>
        <v/>
      </c>
    </row>
    <row r="483" spans="1:12">
      <c r="A483" s="139" t="str">
        <f>IF(E483="","",VLOOKUP('Opći dio'!$C$3,'Opći dio'!$L$6:$U$136,10,FALSE))</f>
        <v/>
      </c>
      <c r="B483" s="139" t="str">
        <f>IF(E483="","",VLOOKUP('Opći dio'!$C$3,'Opći dio'!$L$6:$U$136,9,FALSE))</f>
        <v/>
      </c>
      <c r="C483" s="187" t="str">
        <f t="shared" si="38"/>
        <v/>
      </c>
      <c r="D483" s="138" t="str">
        <f t="shared" si="39"/>
        <v/>
      </c>
      <c r="E483" s="150"/>
      <c r="F483" s="191" t="str">
        <f t="shared" si="40"/>
        <v/>
      </c>
      <c r="G483" s="185"/>
      <c r="H483" s="185"/>
      <c r="I483" s="185"/>
      <c r="K483" s="141" t="str">
        <f t="shared" si="41"/>
        <v/>
      </c>
      <c r="L483" s="141" t="str">
        <f t="shared" si="42"/>
        <v/>
      </c>
    </row>
    <row r="484" spans="1:12">
      <c r="A484" s="139" t="str">
        <f>IF(E484="","",VLOOKUP('Opći dio'!$C$3,'Opći dio'!$L$6:$U$136,10,FALSE))</f>
        <v/>
      </c>
      <c r="B484" s="139" t="str">
        <f>IF(E484="","",VLOOKUP('Opći dio'!$C$3,'Opći dio'!$L$6:$U$136,9,FALSE))</f>
        <v/>
      </c>
      <c r="C484" s="187" t="str">
        <f t="shared" si="38"/>
        <v/>
      </c>
      <c r="D484" s="138" t="str">
        <f t="shared" si="39"/>
        <v/>
      </c>
      <c r="E484" s="150"/>
      <c r="F484" s="191" t="str">
        <f t="shared" si="40"/>
        <v/>
      </c>
      <c r="G484" s="185"/>
      <c r="H484" s="185"/>
      <c r="I484" s="185"/>
      <c r="K484" s="141" t="str">
        <f t="shared" si="41"/>
        <v/>
      </c>
      <c r="L484" s="141" t="str">
        <f t="shared" si="42"/>
        <v/>
      </c>
    </row>
    <row r="485" spans="1:12">
      <c r="A485" s="139" t="str">
        <f>IF(E485="","",VLOOKUP('Opći dio'!$C$3,'Opći dio'!$L$6:$U$136,10,FALSE))</f>
        <v/>
      </c>
      <c r="B485" s="139" t="str">
        <f>IF(E485="","",VLOOKUP('Opći dio'!$C$3,'Opći dio'!$L$6:$U$136,9,FALSE))</f>
        <v/>
      </c>
      <c r="C485" s="187" t="str">
        <f t="shared" si="38"/>
        <v/>
      </c>
      <c r="D485" s="138" t="str">
        <f t="shared" si="39"/>
        <v/>
      </c>
      <c r="E485" s="150"/>
      <c r="F485" s="191" t="str">
        <f t="shared" si="40"/>
        <v/>
      </c>
      <c r="G485" s="185"/>
      <c r="H485" s="185"/>
      <c r="I485" s="185"/>
      <c r="K485" s="141" t="str">
        <f t="shared" si="41"/>
        <v/>
      </c>
      <c r="L485" s="141" t="str">
        <f t="shared" si="42"/>
        <v/>
      </c>
    </row>
    <row r="486" spans="1:12">
      <c r="A486" s="139" t="str">
        <f>IF(E486="","",VLOOKUP('Opći dio'!$C$3,'Opći dio'!$L$6:$U$136,10,FALSE))</f>
        <v/>
      </c>
      <c r="B486" s="139" t="str">
        <f>IF(E486="","",VLOOKUP('Opći dio'!$C$3,'Opći dio'!$L$6:$U$136,9,FALSE))</f>
        <v/>
      </c>
      <c r="C486" s="187" t="str">
        <f t="shared" si="38"/>
        <v/>
      </c>
      <c r="D486" s="138" t="str">
        <f t="shared" si="39"/>
        <v/>
      </c>
      <c r="E486" s="150"/>
      <c r="F486" s="191" t="str">
        <f t="shared" si="40"/>
        <v/>
      </c>
      <c r="G486" s="185"/>
      <c r="H486" s="185"/>
      <c r="I486" s="185"/>
      <c r="K486" s="141" t="str">
        <f t="shared" si="41"/>
        <v/>
      </c>
      <c r="L486" s="141" t="str">
        <f t="shared" si="42"/>
        <v/>
      </c>
    </row>
    <row r="487" spans="1:12">
      <c r="A487" s="139" t="str">
        <f>IF(E487="","",VLOOKUP('Opći dio'!$C$3,'Opći dio'!$L$6:$U$136,10,FALSE))</f>
        <v/>
      </c>
      <c r="B487" s="139" t="str">
        <f>IF(E487="","",VLOOKUP('Opći dio'!$C$3,'Opći dio'!$L$6:$U$136,9,FALSE))</f>
        <v/>
      </c>
      <c r="C487" s="187" t="str">
        <f t="shared" si="38"/>
        <v/>
      </c>
      <c r="D487" s="138" t="str">
        <f t="shared" si="39"/>
        <v/>
      </c>
      <c r="E487" s="150"/>
      <c r="F487" s="191" t="str">
        <f t="shared" si="40"/>
        <v/>
      </c>
      <c r="G487" s="185"/>
      <c r="H487" s="185"/>
      <c r="I487" s="185"/>
      <c r="K487" s="141" t="str">
        <f t="shared" si="41"/>
        <v/>
      </c>
      <c r="L487" s="141" t="str">
        <f t="shared" si="42"/>
        <v/>
      </c>
    </row>
    <row r="488" spans="1:12">
      <c r="A488" s="139" t="str">
        <f>IF(E488="","",VLOOKUP('Opći dio'!$C$3,'Opći dio'!$L$6:$U$136,10,FALSE))</f>
        <v/>
      </c>
      <c r="B488" s="139" t="str">
        <f>IF(E488="","",VLOOKUP('Opći dio'!$C$3,'Opći dio'!$L$6:$U$136,9,FALSE))</f>
        <v/>
      </c>
      <c r="C488" s="187" t="str">
        <f t="shared" si="38"/>
        <v/>
      </c>
      <c r="D488" s="138" t="str">
        <f t="shared" si="39"/>
        <v/>
      </c>
      <c r="E488" s="150"/>
      <c r="F488" s="191" t="str">
        <f t="shared" si="40"/>
        <v/>
      </c>
      <c r="G488" s="185"/>
      <c r="H488" s="185"/>
      <c r="I488" s="185"/>
      <c r="K488" s="141" t="str">
        <f t="shared" si="41"/>
        <v/>
      </c>
      <c r="L488" s="141" t="str">
        <f t="shared" si="42"/>
        <v/>
      </c>
    </row>
    <row r="489" spans="1:12">
      <c r="A489" s="139" t="str">
        <f>IF(E489="","",VLOOKUP('Opći dio'!$C$3,'Opći dio'!$L$6:$U$136,10,FALSE))</f>
        <v/>
      </c>
      <c r="B489" s="139" t="str">
        <f>IF(E489="","",VLOOKUP('Opći dio'!$C$3,'Opći dio'!$L$6:$U$136,9,FALSE))</f>
        <v/>
      </c>
      <c r="C489" s="187" t="str">
        <f t="shared" si="38"/>
        <v/>
      </c>
      <c r="D489" s="138" t="str">
        <f t="shared" si="39"/>
        <v/>
      </c>
      <c r="E489" s="150"/>
      <c r="F489" s="191" t="str">
        <f t="shared" si="40"/>
        <v/>
      </c>
      <c r="G489" s="185"/>
      <c r="H489" s="185"/>
      <c r="I489" s="185"/>
      <c r="K489" s="141" t="str">
        <f t="shared" si="41"/>
        <v/>
      </c>
      <c r="L489" s="141" t="str">
        <f t="shared" si="42"/>
        <v/>
      </c>
    </row>
    <row r="490" spans="1:12">
      <c r="A490" s="139" t="str">
        <f>IF(E490="","",VLOOKUP('Opći dio'!$C$3,'Opći dio'!$L$6:$U$136,10,FALSE))</f>
        <v/>
      </c>
      <c r="B490" s="139" t="str">
        <f>IF(E490="","",VLOOKUP('Opći dio'!$C$3,'Opći dio'!$L$6:$U$136,9,FALSE))</f>
        <v/>
      </c>
      <c r="C490" s="187" t="str">
        <f t="shared" si="38"/>
        <v/>
      </c>
      <c r="D490" s="138" t="str">
        <f t="shared" si="39"/>
        <v/>
      </c>
      <c r="E490" s="150"/>
      <c r="F490" s="191" t="str">
        <f t="shared" si="40"/>
        <v/>
      </c>
      <c r="G490" s="185"/>
      <c r="H490" s="185"/>
      <c r="I490" s="185"/>
      <c r="K490" s="141" t="str">
        <f t="shared" si="41"/>
        <v/>
      </c>
      <c r="L490" s="141" t="str">
        <f t="shared" si="42"/>
        <v/>
      </c>
    </row>
    <row r="491" spans="1:12">
      <c r="A491" s="139" t="str">
        <f>IF(E491="","",VLOOKUP('Opći dio'!$C$3,'Opći dio'!$L$6:$U$136,10,FALSE))</f>
        <v/>
      </c>
      <c r="B491" s="139" t="str">
        <f>IF(E491="","",VLOOKUP('Opći dio'!$C$3,'Opći dio'!$L$6:$U$136,9,FALSE))</f>
        <v/>
      </c>
      <c r="C491" s="187" t="str">
        <f t="shared" si="38"/>
        <v/>
      </c>
      <c r="D491" s="138" t="str">
        <f t="shared" si="39"/>
        <v/>
      </c>
      <c r="E491" s="150"/>
      <c r="F491" s="191" t="str">
        <f t="shared" si="40"/>
        <v/>
      </c>
      <c r="G491" s="185"/>
      <c r="H491" s="185"/>
      <c r="I491" s="185"/>
      <c r="K491" s="141" t="str">
        <f t="shared" si="41"/>
        <v/>
      </c>
      <c r="L491" s="141" t="str">
        <f t="shared" si="42"/>
        <v/>
      </c>
    </row>
    <row r="492" spans="1:12">
      <c r="A492" s="139" t="str">
        <f>IF(E492="","",VLOOKUP('Opći dio'!$C$3,'Opći dio'!$L$6:$U$136,10,FALSE))</f>
        <v/>
      </c>
      <c r="B492" s="139" t="str">
        <f>IF(E492="","",VLOOKUP('Opći dio'!$C$3,'Opći dio'!$L$6:$U$136,9,FALSE))</f>
        <v/>
      </c>
      <c r="C492" s="187" t="str">
        <f t="shared" si="38"/>
        <v/>
      </c>
      <c r="D492" s="138" t="str">
        <f t="shared" si="39"/>
        <v/>
      </c>
      <c r="E492" s="150"/>
      <c r="F492" s="191" t="str">
        <f t="shared" si="40"/>
        <v/>
      </c>
      <c r="G492" s="185"/>
      <c r="H492" s="185"/>
      <c r="I492" s="185"/>
      <c r="K492" s="141" t="str">
        <f t="shared" si="41"/>
        <v/>
      </c>
      <c r="L492" s="141" t="str">
        <f t="shared" si="42"/>
        <v/>
      </c>
    </row>
    <row r="493" spans="1:12">
      <c r="A493" s="139" t="str">
        <f>IF(E493="","",VLOOKUP('Opći dio'!$C$3,'Opći dio'!$L$6:$U$136,10,FALSE))</f>
        <v/>
      </c>
      <c r="B493" s="139" t="str">
        <f>IF(E493="","",VLOOKUP('Opći dio'!$C$3,'Opći dio'!$L$6:$U$136,9,FALSE))</f>
        <v/>
      </c>
      <c r="C493" s="187" t="str">
        <f t="shared" si="38"/>
        <v/>
      </c>
      <c r="D493" s="138" t="str">
        <f t="shared" si="39"/>
        <v/>
      </c>
      <c r="E493" s="150"/>
      <c r="F493" s="191" t="str">
        <f t="shared" si="40"/>
        <v/>
      </c>
      <c r="G493" s="185"/>
      <c r="H493" s="185"/>
      <c r="I493" s="185"/>
      <c r="K493" s="141" t="str">
        <f t="shared" si="41"/>
        <v/>
      </c>
      <c r="L493" s="141" t="str">
        <f t="shared" si="42"/>
        <v/>
      </c>
    </row>
    <row r="494" spans="1:12">
      <c r="A494" s="139" t="str">
        <f>IF(E494="","",VLOOKUP('Opći dio'!$C$3,'Opći dio'!$L$6:$U$136,10,FALSE))</f>
        <v/>
      </c>
      <c r="B494" s="139" t="str">
        <f>IF(E494="","",VLOOKUP('Opći dio'!$C$3,'Opći dio'!$L$6:$U$136,9,FALSE))</f>
        <v/>
      </c>
      <c r="C494" s="187" t="str">
        <f t="shared" si="38"/>
        <v/>
      </c>
      <c r="D494" s="138" t="str">
        <f t="shared" si="39"/>
        <v/>
      </c>
      <c r="E494" s="150"/>
      <c r="F494" s="191" t="str">
        <f t="shared" si="40"/>
        <v/>
      </c>
      <c r="G494" s="185"/>
      <c r="H494" s="185"/>
      <c r="I494" s="185"/>
      <c r="K494" s="141" t="str">
        <f t="shared" si="41"/>
        <v/>
      </c>
      <c r="L494" s="141" t="str">
        <f t="shared" si="42"/>
        <v/>
      </c>
    </row>
    <row r="495" spans="1:12">
      <c r="A495" s="139" t="str">
        <f>IF(E495="","",VLOOKUP('Opći dio'!$C$3,'Opći dio'!$L$6:$U$136,10,FALSE))</f>
        <v/>
      </c>
      <c r="B495" s="139" t="str">
        <f>IF(E495="","",VLOOKUP('Opći dio'!$C$3,'Opći dio'!$L$6:$U$136,9,FALSE))</f>
        <v/>
      </c>
      <c r="C495" s="187" t="str">
        <f t="shared" si="38"/>
        <v/>
      </c>
      <c r="D495" s="138" t="str">
        <f t="shared" si="39"/>
        <v/>
      </c>
      <c r="E495" s="150"/>
      <c r="F495" s="191" t="str">
        <f t="shared" si="40"/>
        <v/>
      </c>
      <c r="G495" s="185"/>
      <c r="H495" s="185"/>
      <c r="I495" s="185"/>
      <c r="K495" s="141" t="str">
        <f t="shared" si="41"/>
        <v/>
      </c>
      <c r="L495" s="141" t="str">
        <f t="shared" si="42"/>
        <v/>
      </c>
    </row>
    <row r="496" spans="1:12">
      <c r="A496" s="139" t="str">
        <f>IF(E496="","",VLOOKUP('Opći dio'!$C$3,'Opći dio'!$L$6:$U$136,10,FALSE))</f>
        <v/>
      </c>
      <c r="B496" s="139" t="str">
        <f>IF(E496="","",VLOOKUP('Opći dio'!$C$3,'Opći dio'!$L$6:$U$136,9,FALSE))</f>
        <v/>
      </c>
      <c r="C496" s="187" t="str">
        <f t="shared" si="38"/>
        <v/>
      </c>
      <c r="D496" s="138" t="str">
        <f t="shared" si="39"/>
        <v/>
      </c>
      <c r="E496" s="150"/>
      <c r="F496" s="191" t="str">
        <f t="shared" si="40"/>
        <v/>
      </c>
      <c r="G496" s="185"/>
      <c r="H496" s="185"/>
      <c r="I496" s="185"/>
      <c r="K496" s="141" t="str">
        <f t="shared" si="41"/>
        <v/>
      </c>
      <c r="L496" s="141" t="str">
        <f t="shared" si="42"/>
        <v/>
      </c>
    </row>
    <row r="497" spans="1:12">
      <c r="A497" s="139" t="str">
        <f>IF(E497="","",VLOOKUP('Opći dio'!$C$3,'Opći dio'!$L$6:$U$136,10,FALSE))</f>
        <v/>
      </c>
      <c r="B497" s="139" t="str">
        <f>IF(E497="","",VLOOKUP('Opći dio'!$C$3,'Opći dio'!$L$6:$U$136,9,FALSE))</f>
        <v/>
      </c>
      <c r="C497" s="187" t="str">
        <f t="shared" si="38"/>
        <v/>
      </c>
      <c r="D497" s="138" t="str">
        <f t="shared" si="39"/>
        <v/>
      </c>
      <c r="E497" s="150"/>
      <c r="F497" s="191" t="str">
        <f t="shared" si="40"/>
        <v/>
      </c>
      <c r="G497" s="185"/>
      <c r="H497" s="185"/>
      <c r="I497" s="185"/>
      <c r="K497" s="141" t="str">
        <f t="shared" si="41"/>
        <v/>
      </c>
      <c r="L497" s="141" t="str">
        <f t="shared" si="42"/>
        <v/>
      </c>
    </row>
    <row r="498" spans="1:12">
      <c r="A498" s="139" t="str">
        <f>IF(E498="","",VLOOKUP('Opći dio'!$C$3,'Opći dio'!$L$6:$U$136,10,FALSE))</f>
        <v/>
      </c>
      <c r="B498" s="139" t="str">
        <f>IF(E498="","",VLOOKUP('Opći dio'!$C$3,'Opći dio'!$L$6:$U$136,9,FALSE))</f>
        <v/>
      </c>
      <c r="C498" s="187" t="str">
        <f t="shared" si="38"/>
        <v/>
      </c>
      <c r="D498" s="138" t="str">
        <f t="shared" si="39"/>
        <v/>
      </c>
      <c r="E498" s="150"/>
      <c r="F498" s="191" t="str">
        <f t="shared" si="40"/>
        <v/>
      </c>
      <c r="G498" s="185"/>
      <c r="H498" s="185"/>
      <c r="I498" s="185"/>
      <c r="K498" s="141" t="str">
        <f t="shared" si="41"/>
        <v/>
      </c>
      <c r="L498" s="141" t="str">
        <f t="shared" si="42"/>
        <v/>
      </c>
    </row>
    <row r="499" spans="1:12">
      <c r="A499" s="139" t="str">
        <f>IF(E499="","",VLOOKUP('Opći dio'!$C$3,'Opći dio'!$L$6:$U$136,10,FALSE))</f>
        <v/>
      </c>
      <c r="B499" s="139" t="str">
        <f>IF(E499="","",VLOOKUP('Opći dio'!$C$3,'Opći dio'!$L$6:$U$136,9,FALSE))</f>
        <v/>
      </c>
      <c r="C499" s="187" t="str">
        <f t="shared" si="38"/>
        <v/>
      </c>
      <c r="D499" s="138" t="str">
        <f t="shared" si="39"/>
        <v/>
      </c>
      <c r="E499" s="150"/>
      <c r="F499" s="191" t="str">
        <f t="shared" si="40"/>
        <v/>
      </c>
      <c r="G499" s="185"/>
      <c r="H499" s="185"/>
      <c r="I499" s="185"/>
      <c r="K499" s="141" t="str">
        <f t="shared" si="41"/>
        <v/>
      </c>
      <c r="L499" s="141" t="str">
        <f t="shared" si="42"/>
        <v/>
      </c>
    </row>
    <row r="500" spans="1:12">
      <c r="A500" s="139" t="str">
        <f>IF(E500="","",VLOOKUP('Opći dio'!$C$3,'Opći dio'!$L$6:$U$136,10,FALSE))</f>
        <v/>
      </c>
      <c r="B500" s="139" t="str">
        <f>IF(E500="","",VLOOKUP('Opći dio'!$C$3,'Opći dio'!$L$6:$U$136,9,FALSE))</f>
        <v/>
      </c>
      <c r="C500" s="187" t="str">
        <f t="shared" si="38"/>
        <v/>
      </c>
      <c r="D500" s="138" t="str">
        <f t="shared" si="39"/>
        <v/>
      </c>
      <c r="E500" s="150"/>
      <c r="F500" s="191" t="str">
        <f t="shared" si="40"/>
        <v/>
      </c>
      <c r="G500" s="185"/>
      <c r="H500" s="185"/>
      <c r="I500" s="185"/>
      <c r="K500" s="141" t="str">
        <f t="shared" si="41"/>
        <v/>
      </c>
      <c r="L500" s="141" t="str">
        <f t="shared" si="42"/>
        <v/>
      </c>
    </row>
    <row r="501" spans="1:12">
      <c r="A501" s="139" t="str">
        <f>IF(E501="","",VLOOKUP('Opći dio'!$C$3,'Opći dio'!$L$6:$U$136,10,FALSE))</f>
        <v/>
      </c>
      <c r="B501" s="139" t="str">
        <f>IF(E501="","",VLOOKUP('Opći dio'!$C$3,'Opći dio'!$L$6:$U$136,9,FALSE))</f>
        <v/>
      </c>
      <c r="C501" s="187" t="str">
        <f t="shared" si="38"/>
        <v/>
      </c>
      <c r="D501" s="138" t="str">
        <f t="shared" si="39"/>
        <v/>
      </c>
      <c r="E501" s="150"/>
      <c r="F501" s="191" t="str">
        <f t="shared" si="40"/>
        <v/>
      </c>
      <c r="G501" s="185"/>
      <c r="H501" s="185"/>
      <c r="I501" s="185"/>
      <c r="K501" s="141" t="str">
        <f t="shared" si="41"/>
        <v/>
      </c>
      <c r="L501" s="141" t="str">
        <f t="shared" si="42"/>
        <v/>
      </c>
    </row>
    <row r="502" spans="1:12"/>
    <row r="503" spans="1:12" hidden="1"/>
    <row r="504" spans="1:12" hidden="1"/>
    <row r="505" spans="1:12" hidden="1"/>
    <row r="506" spans="1:12" hidden="1"/>
    <row r="507" spans="1:12" hidden="1"/>
    <row r="508" spans="1:12" hidden="1"/>
  </sheetData>
  <sheetProtection password="DE31" sheet="1" objects="1" scenarios="1" selectLockedCells="1"/>
  <autoFilter ref="Q5:U105"/>
  <sortState ref="Q8:U105">
    <sortCondition ref="Q8"/>
  </sortSt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$Q$6:$Q$105</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7"/>
  <sheetViews>
    <sheetView showGridLines="0" topLeftCell="B1" zoomScaleNormal="100" workbookViewId="0">
      <pane ySplit="2" topLeftCell="A3" activePane="bottomLeft" state="frozen"/>
      <selection pane="bottomLeft" activeCell="K4" sqref="K4"/>
    </sheetView>
  </sheetViews>
  <sheetFormatPr defaultColWidth="9.140625" defaultRowHeight="15" zeroHeight="1"/>
  <cols>
    <col min="1" max="1" width="8.28515625" style="141" customWidth="1"/>
    <col min="2" max="2" width="20.28515625" style="141" customWidth="1"/>
    <col min="3" max="3" width="11.5703125" style="141" customWidth="1"/>
    <col min="4" max="4" width="33" style="141" customWidth="1"/>
    <col min="5" max="5" width="11.28515625" style="141" customWidth="1"/>
    <col min="6" max="6" width="21.85546875" style="141" customWidth="1"/>
    <col min="7" max="7" width="12.5703125" style="141" customWidth="1"/>
    <col min="8" max="8" width="36.7109375" style="141" customWidth="1"/>
    <col min="9" max="9" width="16.42578125" style="142" customWidth="1"/>
    <col min="10" max="10" width="15.7109375" style="142" customWidth="1"/>
    <col min="11" max="11" width="15.140625" style="142" customWidth="1"/>
    <col min="12" max="12" width="9.140625" style="141" customWidth="1"/>
    <col min="13" max="15" width="9.140625" style="141" hidden="1" customWidth="1"/>
    <col min="16" max="16" width="46.5703125" style="141" hidden="1" customWidth="1"/>
    <col min="17" max="18" width="9.140625" style="141" hidden="1" customWidth="1"/>
    <col min="19" max="19" width="58.85546875" style="141" hidden="1" customWidth="1"/>
    <col min="20" max="25" width="9.140625" style="141" hidden="1" customWidth="1"/>
    <col min="26" max="42" width="0" style="141" hidden="1" customWidth="1"/>
    <col min="43" max="16384" width="9.140625" style="141"/>
  </cols>
  <sheetData>
    <row r="1" spans="1:25" ht="35.25" customHeight="1">
      <c r="A1" s="319" t="s">
        <v>757</v>
      </c>
      <c r="B1" s="319"/>
      <c r="C1" s="319"/>
      <c r="D1" s="319"/>
      <c r="E1" s="190" t="str">
        <f>IF('Opći dio'!C3="odaberite -","Molimo odaberite proračunskog korisnika na radnom listu Opći podaci!","")</f>
        <v/>
      </c>
    </row>
    <row r="2" spans="1:25" ht="36" customHeight="1">
      <c r="A2" s="143" t="s">
        <v>43</v>
      </c>
      <c r="B2" s="143" t="s">
        <v>44</v>
      </c>
      <c r="C2" s="148" t="s">
        <v>786</v>
      </c>
      <c r="D2" s="143" t="s">
        <v>46</v>
      </c>
      <c r="E2" s="148" t="s">
        <v>784</v>
      </c>
      <c r="F2" s="143" t="s">
        <v>785</v>
      </c>
      <c r="G2" s="148" t="s">
        <v>787</v>
      </c>
      <c r="H2" s="143" t="s">
        <v>48</v>
      </c>
      <c r="I2" s="192" t="s">
        <v>2141</v>
      </c>
      <c r="J2" s="192" t="s">
        <v>2142</v>
      </c>
      <c r="K2" s="192" t="s">
        <v>2143</v>
      </c>
      <c r="M2" s="144" t="s">
        <v>759</v>
      </c>
      <c r="N2" s="144" t="s">
        <v>760</v>
      </c>
    </row>
    <row r="3" spans="1:25">
      <c r="A3" s="145" t="str">
        <f>IF(C3="","",VLOOKUP('Opći dio'!$C$3,'Opći dio'!$L$6:$U$136,10,FALSE))</f>
        <v>08006</v>
      </c>
      <c r="B3" s="145" t="str">
        <f>IF(C3="","",VLOOKUP('Opći dio'!$C$3,'Opći dio'!$L$6:$U$136,9,FALSE))</f>
        <v>Sveučilišta i veleučilišta u Republici Hrvatskoj</v>
      </c>
      <c r="C3" s="296">
        <v>11</v>
      </c>
      <c r="D3" s="146" t="str">
        <f t="shared" ref="D3" si="0">IFERROR(VLOOKUP(C3,$O$6:$P$23,2,FALSE),"")</f>
        <v>Opći prihodi i primici</v>
      </c>
      <c r="E3" s="297">
        <v>3111</v>
      </c>
      <c r="F3" s="146" t="str">
        <f t="shared" ref="F3" si="1">IFERROR(VLOOKUP(E3,$R$5:$T$129,2,FALSE),"")</f>
        <v>Plaće za redovan rad</v>
      </c>
      <c r="G3" s="298" t="s">
        <v>55</v>
      </c>
      <c r="H3" s="146" t="str">
        <f t="shared" ref="H3" si="2">IFERROR(VLOOKUP(G3,$X$6:$Y$200,2,FALSE),"")</f>
        <v>REDOVNA DJELATNOST SVEUČILIŠTA U ZAGREBU</v>
      </c>
      <c r="I3" s="299">
        <f>112000000+406524</f>
        <v>112406524</v>
      </c>
      <c r="J3" s="299">
        <f>114486000-100000</f>
        <v>114386000</v>
      </c>
      <c r="K3" s="299">
        <f>115540000-100000</f>
        <v>115440000</v>
      </c>
      <c r="M3" s="141" t="str">
        <f>LEFT(E3,3)</f>
        <v>311</v>
      </c>
      <c r="N3" s="141" t="str">
        <f>LEFT(E3,2)</f>
        <v>31</v>
      </c>
    </row>
    <row r="4" spans="1:25">
      <c r="A4" s="145" t="str">
        <f>IF(C4="","",VLOOKUP('Opći dio'!$C$3,'Opći dio'!$L$6:$U$136,10,FALSE))</f>
        <v>08006</v>
      </c>
      <c r="B4" s="145" t="str">
        <f>IF(C4="","",VLOOKUP('Opći dio'!$C$3,'Opći dio'!$L$6:$U$136,9,FALSE))</f>
        <v>Sveučilišta i veleučilišta u Republici Hrvatskoj</v>
      </c>
      <c r="C4" s="296">
        <v>11</v>
      </c>
      <c r="D4" s="146" t="str">
        <f t="shared" ref="D4:D67" si="3">IFERROR(VLOOKUP(C4,$O$6:$P$23,2,FALSE),"")</f>
        <v>Opći prihodi i primici</v>
      </c>
      <c r="E4" s="297">
        <v>3121</v>
      </c>
      <c r="F4" s="146" t="str">
        <f t="shared" ref="F4:F67" si="4">IFERROR(VLOOKUP(E4,$R$5:$T$129,2,FALSE),"")</f>
        <v>Ostali rashodi za zaposlene</v>
      </c>
      <c r="G4" s="298" t="s">
        <v>55</v>
      </c>
      <c r="H4" s="146" t="str">
        <f t="shared" ref="H4:H67" si="5">IFERROR(VLOOKUP(G4,$X$6:$Y$200,2,FALSE),"")</f>
        <v>REDOVNA DJELATNOST SVEUČILIŠTA U ZAGREBU</v>
      </c>
      <c r="I4" s="299">
        <v>3500000</v>
      </c>
      <c r="J4" s="299">
        <v>3577700</v>
      </c>
      <c r="K4" s="299">
        <v>3610971</v>
      </c>
      <c r="M4" s="141" t="str">
        <f t="shared" ref="M4:M67" si="6">LEFT(E4,3)</f>
        <v>312</v>
      </c>
      <c r="N4" s="141" t="str">
        <f t="shared" ref="N4:N67" si="7">LEFT(E4,2)</f>
        <v>31</v>
      </c>
      <c r="R4" s="147"/>
      <c r="S4" s="147"/>
    </row>
    <row r="5" spans="1:25">
      <c r="A5" s="145" t="str">
        <f>IF(C5="","",VLOOKUP('Opći dio'!$C$3,'Opći dio'!$L$6:$U$136,10,FALSE))</f>
        <v>08006</v>
      </c>
      <c r="B5" s="145" t="str">
        <f>IF(C5="","",VLOOKUP('Opći dio'!$C$3,'Opći dio'!$L$6:$U$136,9,FALSE))</f>
        <v>Sveučilišta i veleučilišta u Republici Hrvatskoj</v>
      </c>
      <c r="C5" s="296">
        <v>11</v>
      </c>
      <c r="D5" s="146" t="str">
        <f t="shared" si="3"/>
        <v>Opći prihodi i primici</v>
      </c>
      <c r="E5" s="297">
        <v>3132</v>
      </c>
      <c r="F5" s="146" t="str">
        <f t="shared" si="4"/>
        <v>Doprinosi za obvezno zdravstveno osiguranje</v>
      </c>
      <c r="G5" s="298" t="s">
        <v>55</v>
      </c>
      <c r="H5" s="146" t="str">
        <f t="shared" si="5"/>
        <v>REDOVNA DJELATNOST SVEUČILIŠTA U ZAGREBU</v>
      </c>
      <c r="I5" s="299">
        <v>19000000</v>
      </c>
      <c r="J5" s="299">
        <v>19421800</v>
      </c>
      <c r="K5" s="299">
        <v>19618000</v>
      </c>
      <c r="M5" s="141" t="str">
        <f t="shared" si="6"/>
        <v>313</v>
      </c>
      <c r="N5" s="141" t="str">
        <f t="shared" si="7"/>
        <v>31</v>
      </c>
      <c r="O5" s="141" t="s">
        <v>45</v>
      </c>
      <c r="P5" s="141" t="s">
        <v>46</v>
      </c>
      <c r="R5" s="141">
        <v>3111</v>
      </c>
      <c r="S5" s="141" t="s">
        <v>54</v>
      </c>
      <c r="U5" s="141" t="str">
        <f>LEFT(R5,2)</f>
        <v>31</v>
      </c>
      <c r="V5" s="141" t="str">
        <f>LEFT(R5,3)</f>
        <v>311</v>
      </c>
      <c r="X5" s="141" t="s">
        <v>47</v>
      </c>
      <c r="Y5" s="141" t="s">
        <v>48</v>
      </c>
    </row>
    <row r="6" spans="1:25">
      <c r="A6" s="145" t="str">
        <f>IF(C6="","",VLOOKUP('Opći dio'!$C$3,'Opći dio'!$L$6:$U$136,10,FALSE))</f>
        <v>08006</v>
      </c>
      <c r="B6" s="145" t="str">
        <f>IF(C6="","",VLOOKUP('Opći dio'!$C$3,'Opći dio'!$L$6:$U$136,9,FALSE))</f>
        <v>Sveučilišta i veleučilišta u Republici Hrvatskoj</v>
      </c>
      <c r="C6" s="296">
        <v>11</v>
      </c>
      <c r="D6" s="146" t="str">
        <f t="shared" si="3"/>
        <v>Opći prihodi i primici</v>
      </c>
      <c r="E6" s="297">
        <v>3211</v>
      </c>
      <c r="F6" s="146" t="str">
        <f t="shared" si="4"/>
        <v>Službena putovanja</v>
      </c>
      <c r="G6" s="298" t="s">
        <v>55</v>
      </c>
      <c r="H6" s="146" t="str">
        <f t="shared" si="5"/>
        <v>REDOVNA DJELATNOST SVEUČILIŠTA U ZAGREBU</v>
      </c>
      <c r="I6" s="299">
        <v>3000000</v>
      </c>
      <c r="J6" s="299">
        <v>3066600</v>
      </c>
      <c r="K6" s="299">
        <v>3094813</v>
      </c>
      <c r="M6" s="141" t="str">
        <f t="shared" si="6"/>
        <v>321</v>
      </c>
      <c r="N6" s="141" t="str">
        <f t="shared" si="7"/>
        <v>32</v>
      </c>
      <c r="O6" s="141">
        <v>11</v>
      </c>
      <c r="P6" s="141" t="s">
        <v>53</v>
      </c>
      <c r="R6" s="141">
        <v>3112</v>
      </c>
      <c r="S6" s="141" t="s">
        <v>153</v>
      </c>
      <c r="U6" s="141" t="str">
        <f>LEFT(R6,2)</f>
        <v>31</v>
      </c>
      <c r="V6" s="141" t="str">
        <f>LEFT(R6,3)</f>
        <v>311</v>
      </c>
      <c r="X6" s="141" t="s">
        <v>1564</v>
      </c>
      <c r="Y6" s="141" t="s">
        <v>1564</v>
      </c>
    </row>
    <row r="7" spans="1:25">
      <c r="A7" s="145" t="str">
        <f>IF(C7="","",VLOOKUP('Opći dio'!$C$3,'Opći dio'!$L$6:$U$136,10,FALSE))</f>
        <v>08006</v>
      </c>
      <c r="B7" s="145" t="str">
        <f>IF(C7="","",VLOOKUP('Opći dio'!$C$3,'Opći dio'!$L$6:$U$136,9,FALSE))</f>
        <v>Sveučilišta i veleučilišta u Republici Hrvatskoj</v>
      </c>
      <c r="C7" s="296">
        <v>11</v>
      </c>
      <c r="D7" s="146" t="str">
        <f t="shared" si="3"/>
        <v>Opći prihodi i primici</v>
      </c>
      <c r="E7" s="297">
        <v>3221</v>
      </c>
      <c r="F7" s="146" t="str">
        <f t="shared" si="4"/>
        <v>Uredski materijal i ostali materijalni rashodi</v>
      </c>
      <c r="G7" s="298" t="s">
        <v>801</v>
      </c>
      <c r="H7" s="146" t="str">
        <f t="shared" si="5"/>
        <v>PROGRAMSKO FINANCIRANJE JAVNIH VISOKIH UČILIŠTA</v>
      </c>
      <c r="I7" s="299">
        <v>4500000</v>
      </c>
      <c r="J7" s="299">
        <v>4599900</v>
      </c>
      <c r="K7" s="299">
        <v>4599900</v>
      </c>
      <c r="M7" s="141" t="str">
        <f t="shared" si="6"/>
        <v>322</v>
      </c>
      <c r="N7" s="141" t="str">
        <f t="shared" si="7"/>
        <v>32</v>
      </c>
      <c r="O7" s="141">
        <v>12</v>
      </c>
      <c r="P7" s="141" t="s">
        <v>263</v>
      </c>
      <c r="R7" s="141">
        <v>3113</v>
      </c>
      <c r="S7" s="141" t="s">
        <v>132</v>
      </c>
      <c r="U7" s="141" t="str">
        <f>LEFT(R7,2)</f>
        <v>31</v>
      </c>
      <c r="V7" s="141" t="str">
        <f>LEFT(R7,3)</f>
        <v>311</v>
      </c>
      <c r="X7" t="s">
        <v>2028</v>
      </c>
      <c r="Y7" t="s">
        <v>2029</v>
      </c>
    </row>
    <row r="8" spans="1:25">
      <c r="A8" s="145" t="str">
        <f>IF(C8="","",VLOOKUP('Opći dio'!$C$3,'Opći dio'!$L$6:$U$136,10,FALSE))</f>
        <v>08006</v>
      </c>
      <c r="B8" s="145" t="str">
        <f>IF(C8="","",VLOOKUP('Opći dio'!$C$3,'Opći dio'!$L$6:$U$136,9,FALSE))</f>
        <v>Sveučilišta i veleučilišta u Republici Hrvatskoj</v>
      </c>
      <c r="C8" s="296">
        <v>11</v>
      </c>
      <c r="D8" s="146" t="str">
        <f t="shared" si="3"/>
        <v>Opći prihodi i primici</v>
      </c>
      <c r="E8" s="297">
        <v>3223</v>
      </c>
      <c r="F8" s="146" t="str">
        <f t="shared" si="4"/>
        <v>Energija</v>
      </c>
      <c r="G8" s="298" t="s">
        <v>801</v>
      </c>
      <c r="H8" s="146" t="str">
        <f t="shared" si="5"/>
        <v>PROGRAMSKO FINANCIRANJE JAVNIH VISOKIH UČILIŠTA</v>
      </c>
      <c r="I8" s="299">
        <v>2800000</v>
      </c>
      <c r="J8" s="299">
        <v>2862160</v>
      </c>
      <c r="K8" s="299">
        <v>2862160</v>
      </c>
      <c r="M8" s="141" t="str">
        <f t="shared" si="6"/>
        <v>322</v>
      </c>
      <c r="N8" s="141" t="str">
        <f t="shared" si="7"/>
        <v>32</v>
      </c>
      <c r="O8" s="141">
        <v>31</v>
      </c>
      <c r="P8" s="141" t="s">
        <v>98</v>
      </c>
      <c r="R8" s="141">
        <v>3114</v>
      </c>
      <c r="S8" s="141" t="s">
        <v>154</v>
      </c>
      <c r="U8" s="141" t="str">
        <f>LEFT(R8,2)</f>
        <v>31</v>
      </c>
      <c r="V8" s="141" t="str">
        <f>LEFT(R8,3)</f>
        <v>311</v>
      </c>
      <c r="X8" t="s">
        <v>2030</v>
      </c>
      <c r="Y8" t="s">
        <v>2031</v>
      </c>
    </row>
    <row r="9" spans="1:25">
      <c r="A9" s="145" t="str">
        <f>IF(C9="","",VLOOKUP('Opći dio'!$C$3,'Opći dio'!$L$6:$U$136,10,FALSE))</f>
        <v>08006</v>
      </c>
      <c r="B9" s="145" t="str">
        <f>IF(C9="","",VLOOKUP('Opći dio'!$C$3,'Opći dio'!$L$6:$U$136,9,FALSE))</f>
        <v>Sveučilišta i veleučilišta u Republici Hrvatskoj</v>
      </c>
      <c r="C9" s="296">
        <v>11</v>
      </c>
      <c r="D9" s="146" t="str">
        <f t="shared" si="3"/>
        <v>Opći prihodi i primici</v>
      </c>
      <c r="E9" s="297">
        <v>3231</v>
      </c>
      <c r="F9" s="146" t="str">
        <f t="shared" si="4"/>
        <v>Usluge telefona, pošte i prijevoza</v>
      </c>
      <c r="G9" s="298" t="s">
        <v>801</v>
      </c>
      <c r="H9" s="146" t="str">
        <f t="shared" si="5"/>
        <v>PROGRAMSKO FINANCIRANJE JAVNIH VISOKIH UČILIŠTA</v>
      </c>
      <c r="I9" s="299">
        <v>200000</v>
      </c>
      <c r="J9" s="299">
        <v>204440</v>
      </c>
      <c r="K9" s="299">
        <v>204440</v>
      </c>
      <c r="M9" s="141" t="str">
        <f t="shared" si="6"/>
        <v>323</v>
      </c>
      <c r="N9" s="141" t="str">
        <f t="shared" si="7"/>
        <v>32</v>
      </c>
      <c r="O9" s="141">
        <v>41</v>
      </c>
      <c r="P9" s="141" t="s">
        <v>1537</v>
      </c>
      <c r="R9" s="141">
        <v>3121</v>
      </c>
      <c r="S9" s="141" t="s">
        <v>57</v>
      </c>
      <c r="U9" s="141" t="str">
        <f>LEFT(R9,2)</f>
        <v>31</v>
      </c>
      <c r="V9" s="141" t="str">
        <f>LEFT(R9,3)</f>
        <v>312</v>
      </c>
      <c r="X9" t="s">
        <v>1211</v>
      </c>
      <c r="Y9" t="s">
        <v>1212</v>
      </c>
    </row>
    <row r="10" spans="1:25">
      <c r="A10" s="145" t="str">
        <f>IF(C10="","",VLOOKUP('Opći dio'!$C$3,'Opći dio'!$L$6:$U$136,10,FALSE))</f>
        <v>08006</v>
      </c>
      <c r="B10" s="145" t="str">
        <f>IF(C10="","",VLOOKUP('Opći dio'!$C$3,'Opći dio'!$L$6:$U$136,9,FALSE))</f>
        <v>Sveučilišta i veleučilišta u Republici Hrvatskoj</v>
      </c>
      <c r="C10" s="296">
        <v>11</v>
      </c>
      <c r="D10" s="146" t="str">
        <f t="shared" si="3"/>
        <v>Opći prihodi i primici</v>
      </c>
      <c r="E10" s="297">
        <v>3232</v>
      </c>
      <c r="F10" s="146" t="str">
        <f t="shared" si="4"/>
        <v>Usluge tekućeg i investicijskog održavanja</v>
      </c>
      <c r="G10" s="298" t="s">
        <v>801</v>
      </c>
      <c r="H10" s="146" t="str">
        <f t="shared" si="5"/>
        <v>PROGRAMSKO FINANCIRANJE JAVNIH VISOKIH UČILIŠTA</v>
      </c>
      <c r="I10" s="299">
        <v>3000000</v>
      </c>
      <c r="J10" s="299">
        <v>3066600</v>
      </c>
      <c r="K10" s="299">
        <v>3066600</v>
      </c>
      <c r="M10" s="141" t="str">
        <f t="shared" si="6"/>
        <v>323</v>
      </c>
      <c r="N10" s="141" t="str">
        <f t="shared" si="7"/>
        <v>32</v>
      </c>
      <c r="O10" s="141">
        <v>43</v>
      </c>
      <c r="P10" s="141" t="s">
        <v>103</v>
      </c>
      <c r="R10" s="195">
        <v>3132</v>
      </c>
      <c r="S10" s="195" t="s">
        <v>58</v>
      </c>
      <c r="T10" s="195"/>
      <c r="U10" s="195" t="str">
        <f t="shared" ref="U10:U41" si="8">LEFT(R10,2)</f>
        <v>31</v>
      </c>
      <c r="V10" s="195" t="str">
        <f t="shared" ref="V10:V41" si="9">LEFT(R10,3)</f>
        <v>313</v>
      </c>
      <c r="X10" t="s">
        <v>2032</v>
      </c>
      <c r="Y10" t="s">
        <v>2033</v>
      </c>
    </row>
    <row r="11" spans="1:25">
      <c r="A11" s="145" t="str">
        <f>IF(C11="","",VLOOKUP('Opći dio'!$C$3,'Opći dio'!$L$6:$U$136,10,FALSE))</f>
        <v>08006</v>
      </c>
      <c r="B11" s="145" t="str">
        <f>IF(C11="","",VLOOKUP('Opći dio'!$C$3,'Opći dio'!$L$6:$U$136,9,FALSE))</f>
        <v>Sveučilišta i veleučilišta u Republici Hrvatskoj</v>
      </c>
      <c r="C11" s="296">
        <v>11</v>
      </c>
      <c r="D11" s="146" t="str">
        <f t="shared" si="3"/>
        <v>Opći prihodi i primici</v>
      </c>
      <c r="E11" s="297">
        <v>3237</v>
      </c>
      <c r="F11" s="146" t="str">
        <f t="shared" si="4"/>
        <v>Intelektualne i osobne usluge</v>
      </c>
      <c r="G11" s="298" t="s">
        <v>801</v>
      </c>
      <c r="H11" s="146" t="str">
        <f t="shared" si="5"/>
        <v>PROGRAMSKO FINANCIRANJE JAVNIH VISOKIH UČILIŠTA</v>
      </c>
      <c r="I11" s="299">
        <v>2200000</v>
      </c>
      <c r="J11" s="299">
        <v>2248840</v>
      </c>
      <c r="K11" s="299">
        <v>2248840</v>
      </c>
      <c r="M11" s="141" t="str">
        <f t="shared" si="6"/>
        <v>323</v>
      </c>
      <c r="N11" s="141" t="str">
        <f t="shared" si="7"/>
        <v>32</v>
      </c>
      <c r="O11" s="141">
        <v>51</v>
      </c>
      <c r="P11" s="141" t="s">
        <v>93</v>
      </c>
      <c r="R11" s="141">
        <v>3211</v>
      </c>
      <c r="S11" s="141" t="s">
        <v>85</v>
      </c>
      <c r="U11" s="141" t="str">
        <f t="shared" si="8"/>
        <v>32</v>
      </c>
      <c r="V11" s="141" t="str">
        <f t="shared" si="9"/>
        <v>321</v>
      </c>
      <c r="X11" t="s">
        <v>1213</v>
      </c>
      <c r="Y11" t="s">
        <v>1214</v>
      </c>
    </row>
    <row r="12" spans="1:25">
      <c r="A12" s="145" t="str">
        <f>IF(C12="","",VLOOKUP('Opći dio'!$C$3,'Opći dio'!$L$6:$U$136,10,FALSE))</f>
        <v>08006</v>
      </c>
      <c r="B12" s="145" t="str">
        <f>IF(C12="","",VLOOKUP('Opći dio'!$C$3,'Opći dio'!$L$6:$U$136,9,FALSE))</f>
        <v>Sveučilišta i veleučilišta u Republici Hrvatskoj</v>
      </c>
      <c r="C12" s="296">
        <v>11</v>
      </c>
      <c r="D12" s="146" t="str">
        <f t="shared" si="3"/>
        <v>Opći prihodi i primici</v>
      </c>
      <c r="E12" s="297">
        <v>3239</v>
      </c>
      <c r="F12" s="146" t="str">
        <f t="shared" si="4"/>
        <v>Ostale usluge</v>
      </c>
      <c r="G12" s="298" t="s">
        <v>801</v>
      </c>
      <c r="H12" s="146" t="str">
        <f t="shared" si="5"/>
        <v>PROGRAMSKO FINANCIRANJE JAVNIH VISOKIH UČILIŠTA</v>
      </c>
      <c r="I12" s="299">
        <v>350000</v>
      </c>
      <c r="J12" s="299">
        <v>357770</v>
      </c>
      <c r="K12" s="299">
        <v>357770</v>
      </c>
      <c r="M12" s="141" t="str">
        <f t="shared" si="6"/>
        <v>323</v>
      </c>
      <c r="N12" s="141" t="str">
        <f t="shared" si="7"/>
        <v>32</v>
      </c>
      <c r="O12" s="141">
        <v>52</v>
      </c>
      <c r="P12" s="141" t="s">
        <v>116</v>
      </c>
      <c r="R12" s="141">
        <v>3212</v>
      </c>
      <c r="S12" s="141" t="s">
        <v>59</v>
      </c>
      <c r="U12" s="141" t="str">
        <f t="shared" si="8"/>
        <v>32</v>
      </c>
      <c r="V12" s="141" t="str">
        <f t="shared" si="9"/>
        <v>321</v>
      </c>
      <c r="X12" t="s">
        <v>2034</v>
      </c>
      <c r="Y12" t="s">
        <v>2035</v>
      </c>
    </row>
    <row r="13" spans="1:25">
      <c r="A13" s="145" t="str">
        <f>IF(C13="","",VLOOKUP('Opći dio'!$C$3,'Opći dio'!$L$6:$U$136,10,FALSE))</f>
        <v>08006</v>
      </c>
      <c r="B13" s="145" t="str">
        <f>IF(C13="","",VLOOKUP('Opći dio'!$C$3,'Opći dio'!$L$6:$U$136,9,FALSE))</f>
        <v>Sveučilišta i veleučilišta u Republici Hrvatskoj</v>
      </c>
      <c r="C13" s="296">
        <v>11</v>
      </c>
      <c r="D13" s="146" t="str">
        <f t="shared" si="3"/>
        <v>Opći prihodi i primici</v>
      </c>
      <c r="E13" s="297">
        <v>3241</v>
      </c>
      <c r="F13" s="146" t="str">
        <f t="shared" si="4"/>
        <v>Naknade troškova osobama izvan radnog odnosa</v>
      </c>
      <c r="G13" s="298" t="s">
        <v>801</v>
      </c>
      <c r="H13" s="146" t="str">
        <f t="shared" si="5"/>
        <v>PROGRAMSKO FINANCIRANJE JAVNIH VISOKIH UČILIŠTA</v>
      </c>
      <c r="I13" s="299">
        <v>800000</v>
      </c>
      <c r="J13" s="299">
        <v>817760</v>
      </c>
      <c r="K13" s="299">
        <v>817760</v>
      </c>
      <c r="M13" s="141" t="str">
        <f t="shared" si="6"/>
        <v>324</v>
      </c>
      <c r="N13" s="141" t="str">
        <f t="shared" si="7"/>
        <v>32</v>
      </c>
      <c r="O13" s="141">
        <v>552</v>
      </c>
      <c r="P13" s="141" t="s">
        <v>1538</v>
      </c>
      <c r="R13" s="141">
        <v>3213</v>
      </c>
      <c r="S13" s="141" t="s">
        <v>104</v>
      </c>
      <c r="U13" s="141" t="str">
        <f t="shared" si="8"/>
        <v>32</v>
      </c>
      <c r="V13" s="141" t="str">
        <f t="shared" si="9"/>
        <v>321</v>
      </c>
      <c r="X13" t="s">
        <v>1215</v>
      </c>
      <c r="Y13" t="s">
        <v>1216</v>
      </c>
    </row>
    <row r="14" spans="1:25">
      <c r="A14" s="145" t="str">
        <f>IF(C14="","",VLOOKUP('Opći dio'!$C$3,'Opći dio'!$L$6:$U$136,10,FALSE))</f>
        <v>08006</v>
      </c>
      <c r="B14" s="145" t="str">
        <f>IF(C14="","",VLOOKUP('Opći dio'!$C$3,'Opći dio'!$L$6:$U$136,9,FALSE))</f>
        <v>Sveučilišta i veleučilišta u Republici Hrvatskoj</v>
      </c>
      <c r="C14" s="296">
        <v>11</v>
      </c>
      <c r="D14" s="146" t="str">
        <f t="shared" si="3"/>
        <v>Opći prihodi i primici</v>
      </c>
      <c r="E14" s="297">
        <v>3295</v>
      </c>
      <c r="F14" s="146" t="str">
        <f t="shared" si="4"/>
        <v>Pristojbe i naknade</v>
      </c>
      <c r="G14" s="298" t="s">
        <v>55</v>
      </c>
      <c r="H14" s="146" t="str">
        <f t="shared" si="5"/>
        <v>REDOVNA DJELATNOST SVEUČILIŠTA U ZAGREBU</v>
      </c>
      <c r="I14" s="299">
        <v>120000</v>
      </c>
      <c r="J14" s="299">
        <v>120000</v>
      </c>
      <c r="K14" s="299">
        <v>120000</v>
      </c>
      <c r="M14" s="141" t="str">
        <f t="shared" si="6"/>
        <v>329</v>
      </c>
      <c r="N14" s="141" t="str">
        <f t="shared" si="7"/>
        <v>32</v>
      </c>
      <c r="O14" s="141">
        <v>559</v>
      </c>
      <c r="P14" s="141" t="s">
        <v>1539</v>
      </c>
      <c r="R14" s="141">
        <v>3214</v>
      </c>
      <c r="S14" s="141" t="s">
        <v>133</v>
      </c>
      <c r="U14" s="141" t="str">
        <f t="shared" si="8"/>
        <v>32</v>
      </c>
      <c r="V14" s="141" t="str">
        <f t="shared" si="9"/>
        <v>321</v>
      </c>
      <c r="X14" t="s">
        <v>2036</v>
      </c>
      <c r="Y14" t="s">
        <v>2037</v>
      </c>
    </row>
    <row r="15" spans="1:25">
      <c r="A15" s="145" t="str">
        <f>IF(C15="","",VLOOKUP('Opći dio'!$C$3,'Opći dio'!$L$6:$U$136,10,FALSE))</f>
        <v>08006</v>
      </c>
      <c r="B15" s="145" t="str">
        <f>IF(C15="","",VLOOKUP('Opći dio'!$C$3,'Opći dio'!$L$6:$U$136,9,FALSE))</f>
        <v>Sveučilišta i veleučilišta u Republici Hrvatskoj</v>
      </c>
      <c r="C15" s="296">
        <v>11</v>
      </c>
      <c r="D15" s="146" t="str">
        <f t="shared" si="3"/>
        <v>Opći prihodi i primici</v>
      </c>
      <c r="E15" s="297">
        <v>4221</v>
      </c>
      <c r="F15" s="146" t="str">
        <f t="shared" si="4"/>
        <v>Uredska oprema i namještaj</v>
      </c>
      <c r="G15" s="298" t="s">
        <v>801</v>
      </c>
      <c r="H15" s="146" t="str">
        <f t="shared" si="5"/>
        <v>PROGRAMSKO FINANCIRANJE JAVNIH VISOKIH UČILIŠTA</v>
      </c>
      <c r="I15" s="299">
        <v>806928</v>
      </c>
      <c r="J15" s="299">
        <v>825685</v>
      </c>
      <c r="K15" s="299">
        <v>825685</v>
      </c>
      <c r="M15" s="141" t="str">
        <f t="shared" si="6"/>
        <v>422</v>
      </c>
      <c r="N15" s="141" t="str">
        <f t="shared" si="7"/>
        <v>42</v>
      </c>
      <c r="O15" s="141">
        <v>561</v>
      </c>
      <c r="P15" s="141" t="s">
        <v>118</v>
      </c>
      <c r="R15" s="141">
        <v>3221</v>
      </c>
      <c r="S15" s="141" t="s">
        <v>86</v>
      </c>
      <c r="U15" s="141" t="str">
        <f t="shared" si="8"/>
        <v>32</v>
      </c>
      <c r="V15" s="141" t="str">
        <f t="shared" si="9"/>
        <v>322</v>
      </c>
      <c r="X15" t="s">
        <v>2038</v>
      </c>
      <c r="Y15" t="s">
        <v>2039</v>
      </c>
    </row>
    <row r="16" spans="1:25">
      <c r="A16" s="145" t="str">
        <f>IF(C16="","",VLOOKUP('Opći dio'!$C$3,'Opći dio'!$L$6:$U$136,10,FALSE))</f>
        <v>08006</v>
      </c>
      <c r="B16" s="145" t="str">
        <f>IF(C16="","",VLOOKUP('Opći dio'!$C$3,'Opći dio'!$L$6:$U$136,9,FALSE))</f>
        <v>Sveučilišta i veleučilišta u Republici Hrvatskoj</v>
      </c>
      <c r="C16" s="296">
        <v>11</v>
      </c>
      <c r="D16" s="146" t="str">
        <f t="shared" si="3"/>
        <v>Opći prihodi i primici</v>
      </c>
      <c r="E16" s="297">
        <v>4241</v>
      </c>
      <c r="F16" s="146" t="str">
        <f t="shared" si="4"/>
        <v>Knjige</v>
      </c>
      <c r="G16" s="298" t="s">
        <v>801</v>
      </c>
      <c r="H16" s="146" t="str">
        <f t="shared" si="5"/>
        <v>PROGRAMSKO FINANCIRANJE JAVNIH VISOKIH UČILIŠTA</v>
      </c>
      <c r="I16" s="299">
        <v>800000</v>
      </c>
      <c r="J16" s="299">
        <v>817760</v>
      </c>
      <c r="K16" s="299">
        <v>817760</v>
      </c>
      <c r="M16" s="141" t="str">
        <f t="shared" si="6"/>
        <v>424</v>
      </c>
      <c r="N16" s="141" t="str">
        <f t="shared" si="7"/>
        <v>42</v>
      </c>
      <c r="O16" s="141">
        <v>563</v>
      </c>
      <c r="P16" s="141" t="s">
        <v>120</v>
      </c>
      <c r="R16" s="141">
        <v>3222</v>
      </c>
      <c r="S16" s="141" t="s">
        <v>107</v>
      </c>
      <c r="U16" s="141" t="str">
        <f t="shared" si="8"/>
        <v>32</v>
      </c>
      <c r="V16" s="141" t="str">
        <f t="shared" si="9"/>
        <v>322</v>
      </c>
      <c r="X16" t="s">
        <v>2040</v>
      </c>
      <c r="Y16" t="s">
        <v>2041</v>
      </c>
    </row>
    <row r="17" spans="1:25">
      <c r="A17" s="145" t="str">
        <f>IF(C17="","",VLOOKUP('Opći dio'!$C$3,'Opći dio'!$L$6:$U$136,10,FALSE))</f>
        <v>08006</v>
      </c>
      <c r="B17" s="145" t="str">
        <f>IF(C17="","",VLOOKUP('Opći dio'!$C$3,'Opći dio'!$L$6:$U$136,9,FALSE))</f>
        <v>Sveučilišta i veleučilišta u Republici Hrvatskoj</v>
      </c>
      <c r="C17" s="296">
        <v>31</v>
      </c>
      <c r="D17" s="146" t="str">
        <f t="shared" si="3"/>
        <v>Vlastiti prihodi</v>
      </c>
      <c r="E17" s="297">
        <v>3111</v>
      </c>
      <c r="F17" s="146" t="str">
        <f t="shared" si="4"/>
        <v>Plaće za redovan rad</v>
      </c>
      <c r="G17" s="298" t="s">
        <v>152</v>
      </c>
      <c r="H17" s="146" t="str">
        <f t="shared" si="5"/>
        <v>REDOVNA DJELATNOST SVEUČILIŠTA U ZAGREBU (IZ EVIDENCIJSKIH PRIHODA)</v>
      </c>
      <c r="I17" s="299">
        <v>3300000</v>
      </c>
      <c r="J17" s="299">
        <v>3500000</v>
      </c>
      <c r="K17" s="299">
        <v>3500000</v>
      </c>
      <c r="M17" s="141" t="str">
        <f t="shared" si="6"/>
        <v>311</v>
      </c>
      <c r="N17" s="141" t="str">
        <f t="shared" si="7"/>
        <v>31</v>
      </c>
      <c r="O17" s="141">
        <v>573</v>
      </c>
      <c r="P17" s="141" t="s">
        <v>1549</v>
      </c>
      <c r="R17" s="141">
        <v>3223</v>
      </c>
      <c r="S17" s="141" t="s">
        <v>95</v>
      </c>
      <c r="U17" s="141" t="str">
        <f t="shared" si="8"/>
        <v>32</v>
      </c>
      <c r="V17" s="141" t="str">
        <f t="shared" si="9"/>
        <v>322</v>
      </c>
      <c r="X17" t="s">
        <v>2042</v>
      </c>
      <c r="Y17" t="s">
        <v>1426</v>
      </c>
    </row>
    <row r="18" spans="1:25">
      <c r="A18" s="145" t="str">
        <f>IF(C18="","",VLOOKUP('Opći dio'!$C$3,'Opći dio'!$L$6:$U$136,10,FALSE))</f>
        <v>08006</v>
      </c>
      <c r="B18" s="145" t="str">
        <f>IF(C18="","",VLOOKUP('Opći dio'!$C$3,'Opći dio'!$L$6:$U$136,9,FALSE))</f>
        <v>Sveučilišta i veleučilišta u Republici Hrvatskoj</v>
      </c>
      <c r="C18" s="296">
        <v>31</v>
      </c>
      <c r="D18" s="146" t="str">
        <f t="shared" si="3"/>
        <v>Vlastiti prihodi</v>
      </c>
      <c r="E18" s="297">
        <v>3121</v>
      </c>
      <c r="F18" s="146" t="str">
        <f t="shared" si="4"/>
        <v>Ostali rashodi za zaposlene</v>
      </c>
      <c r="G18" s="298" t="s">
        <v>152</v>
      </c>
      <c r="H18" s="146" t="str">
        <f t="shared" si="5"/>
        <v>REDOVNA DJELATNOST SVEUČILIŠTA U ZAGREBU (IZ EVIDENCIJSKIH PRIHODA)</v>
      </c>
      <c r="I18" s="299">
        <v>450000</v>
      </c>
      <c r="J18" s="299">
        <v>450000</v>
      </c>
      <c r="K18" s="299">
        <v>450000</v>
      </c>
      <c r="M18" s="141" t="str">
        <f t="shared" si="6"/>
        <v>312</v>
      </c>
      <c r="N18" s="141" t="str">
        <f t="shared" si="7"/>
        <v>31</v>
      </c>
      <c r="O18" s="141">
        <v>575</v>
      </c>
      <c r="P18" s="141" t="s">
        <v>1551</v>
      </c>
      <c r="R18" s="141">
        <v>3224</v>
      </c>
      <c r="S18" s="141" t="s">
        <v>100</v>
      </c>
      <c r="U18" s="141" t="str">
        <f t="shared" si="8"/>
        <v>32</v>
      </c>
      <c r="V18" s="141" t="str">
        <f t="shared" si="9"/>
        <v>322</v>
      </c>
      <c r="X18" t="s">
        <v>2043</v>
      </c>
      <c r="Y18" t="s">
        <v>2044</v>
      </c>
    </row>
    <row r="19" spans="1:25">
      <c r="A19" s="145" t="str">
        <f>IF(C19="","",VLOOKUP('Opći dio'!$C$3,'Opći dio'!$L$6:$U$136,10,FALSE))</f>
        <v>08006</v>
      </c>
      <c r="B19" s="145" t="str">
        <f>IF(C19="","",VLOOKUP('Opći dio'!$C$3,'Opći dio'!$L$6:$U$136,9,FALSE))</f>
        <v>Sveučilišta i veleučilišta u Republici Hrvatskoj</v>
      </c>
      <c r="C19" s="296">
        <v>31</v>
      </c>
      <c r="D19" s="146" t="str">
        <f t="shared" si="3"/>
        <v>Vlastiti prihodi</v>
      </c>
      <c r="E19" s="297">
        <v>3132</v>
      </c>
      <c r="F19" s="146" t="str">
        <f t="shared" si="4"/>
        <v>Doprinosi za obvezno zdravstveno osiguranje</v>
      </c>
      <c r="G19" s="298" t="s">
        <v>152</v>
      </c>
      <c r="H19" s="146" t="str">
        <f t="shared" si="5"/>
        <v>REDOVNA DJELATNOST SVEUČILIŠTA U ZAGREBU (IZ EVIDENCIJSKIH PRIHODA)</v>
      </c>
      <c r="I19" s="299">
        <v>600000</v>
      </c>
      <c r="J19" s="299">
        <v>670000</v>
      </c>
      <c r="K19" s="299">
        <v>670000</v>
      </c>
      <c r="M19" s="141" t="str">
        <f t="shared" si="6"/>
        <v>313</v>
      </c>
      <c r="N19" s="141" t="str">
        <f t="shared" si="7"/>
        <v>31</v>
      </c>
      <c r="O19" s="223">
        <v>576</v>
      </c>
      <c r="P19" s="224" t="s">
        <v>2126</v>
      </c>
      <c r="R19" s="141">
        <v>3225</v>
      </c>
      <c r="S19" s="141" t="s">
        <v>108</v>
      </c>
      <c r="U19" s="141" t="str">
        <f t="shared" si="8"/>
        <v>32</v>
      </c>
      <c r="V19" s="141" t="str">
        <f t="shared" si="9"/>
        <v>322</v>
      </c>
      <c r="X19" t="s">
        <v>1225</v>
      </c>
      <c r="Y19" t="s">
        <v>1226</v>
      </c>
    </row>
    <row r="20" spans="1:25">
      <c r="A20" s="145" t="str">
        <f>IF(C20="","",VLOOKUP('Opći dio'!$C$3,'Opći dio'!$L$6:$U$136,10,FALSE))</f>
        <v>08006</v>
      </c>
      <c r="B20" s="145" t="str">
        <f>IF(C20="","",VLOOKUP('Opći dio'!$C$3,'Opći dio'!$L$6:$U$136,9,FALSE))</f>
        <v>Sveučilišta i veleučilišta u Republici Hrvatskoj</v>
      </c>
      <c r="C20" s="296">
        <v>31</v>
      </c>
      <c r="D20" s="146" t="str">
        <f t="shared" si="3"/>
        <v>Vlastiti prihodi</v>
      </c>
      <c r="E20" s="297">
        <v>3211</v>
      </c>
      <c r="F20" s="146" t="str">
        <f t="shared" si="4"/>
        <v>Službena putovanja</v>
      </c>
      <c r="G20" s="298" t="s">
        <v>152</v>
      </c>
      <c r="H20" s="146" t="str">
        <f t="shared" si="5"/>
        <v>REDOVNA DJELATNOST SVEUČILIŠTA U ZAGREBU (IZ EVIDENCIJSKIH PRIHODA)</v>
      </c>
      <c r="I20" s="299">
        <v>350000</v>
      </c>
      <c r="J20" s="299">
        <v>370000</v>
      </c>
      <c r="K20" s="299">
        <v>370000</v>
      </c>
      <c r="M20" s="141" t="str">
        <f t="shared" si="6"/>
        <v>321</v>
      </c>
      <c r="N20" s="141" t="str">
        <f t="shared" si="7"/>
        <v>32</v>
      </c>
      <c r="O20" s="141">
        <v>61</v>
      </c>
      <c r="P20" s="141" t="s">
        <v>122</v>
      </c>
      <c r="R20" s="141">
        <v>3226</v>
      </c>
      <c r="S20" s="141" t="s">
        <v>182</v>
      </c>
      <c r="U20" s="141" t="str">
        <f t="shared" si="8"/>
        <v>32</v>
      </c>
      <c r="V20" s="141" t="str">
        <f t="shared" si="9"/>
        <v>322</v>
      </c>
      <c r="X20" t="s">
        <v>1227</v>
      </c>
      <c r="Y20" t="s">
        <v>1228</v>
      </c>
    </row>
    <row r="21" spans="1:25">
      <c r="A21" s="145" t="str">
        <f>IF(C21="","",VLOOKUP('Opći dio'!$C$3,'Opći dio'!$L$6:$U$136,10,FALSE))</f>
        <v>08006</v>
      </c>
      <c r="B21" s="145" t="str">
        <f>IF(C21="","",VLOOKUP('Opći dio'!$C$3,'Opći dio'!$L$6:$U$136,9,FALSE))</f>
        <v>Sveučilišta i veleučilišta u Republici Hrvatskoj</v>
      </c>
      <c r="C21" s="296">
        <v>31</v>
      </c>
      <c r="D21" s="146" t="str">
        <f t="shared" si="3"/>
        <v>Vlastiti prihodi</v>
      </c>
      <c r="E21" s="297">
        <v>3221</v>
      </c>
      <c r="F21" s="146" t="str">
        <f t="shared" si="4"/>
        <v>Uredski materijal i ostali materijalni rashodi</v>
      </c>
      <c r="G21" s="298" t="s">
        <v>152</v>
      </c>
      <c r="H21" s="146" t="str">
        <f t="shared" si="5"/>
        <v>REDOVNA DJELATNOST SVEUČILIŠTA U ZAGREBU (IZ EVIDENCIJSKIH PRIHODA)</v>
      </c>
      <c r="I21" s="299">
        <v>150000</v>
      </c>
      <c r="J21" s="299">
        <v>180000</v>
      </c>
      <c r="K21" s="299">
        <v>180000</v>
      </c>
      <c r="M21" s="141" t="str">
        <f t="shared" si="6"/>
        <v>322</v>
      </c>
      <c r="N21" s="141" t="str">
        <f t="shared" si="7"/>
        <v>32</v>
      </c>
      <c r="O21" s="141">
        <v>71</v>
      </c>
      <c r="P21" s="141" t="s">
        <v>180</v>
      </c>
      <c r="R21" s="141">
        <v>3227</v>
      </c>
      <c r="S21" s="141" t="s">
        <v>125</v>
      </c>
      <c r="U21" s="141" t="str">
        <f t="shared" si="8"/>
        <v>32</v>
      </c>
      <c r="V21" s="141" t="str">
        <f t="shared" si="9"/>
        <v>322</v>
      </c>
      <c r="X21" t="s">
        <v>2045</v>
      </c>
      <c r="Y21" t="s">
        <v>2046</v>
      </c>
    </row>
    <row r="22" spans="1:25">
      <c r="A22" s="145" t="str">
        <f>IF(C22="","",VLOOKUP('Opći dio'!$C$3,'Opći dio'!$L$6:$U$136,10,FALSE))</f>
        <v>08006</v>
      </c>
      <c r="B22" s="145" t="str">
        <f>IF(C22="","",VLOOKUP('Opći dio'!$C$3,'Opći dio'!$L$6:$U$136,9,FALSE))</f>
        <v>Sveučilišta i veleučilišta u Republici Hrvatskoj</v>
      </c>
      <c r="C22" s="296">
        <v>31</v>
      </c>
      <c r="D22" s="146" t="str">
        <f t="shared" si="3"/>
        <v>Vlastiti prihodi</v>
      </c>
      <c r="E22" s="297">
        <v>3231</v>
      </c>
      <c r="F22" s="146" t="str">
        <f t="shared" si="4"/>
        <v>Usluge telefona, pošte i prijevoza</v>
      </c>
      <c r="G22" s="298" t="s">
        <v>152</v>
      </c>
      <c r="H22" s="146" t="str">
        <f t="shared" si="5"/>
        <v>REDOVNA DJELATNOST SVEUČILIŠTA U ZAGREBU (IZ EVIDENCIJSKIH PRIHODA)</v>
      </c>
      <c r="I22" s="299">
        <v>40000</v>
      </c>
      <c r="J22" s="299">
        <v>50000</v>
      </c>
      <c r="K22" s="299">
        <v>50000</v>
      </c>
      <c r="M22" s="141" t="str">
        <f t="shared" si="6"/>
        <v>323</v>
      </c>
      <c r="N22" s="141" t="str">
        <f t="shared" si="7"/>
        <v>32</v>
      </c>
      <c r="O22" s="141">
        <v>81</v>
      </c>
      <c r="P22" s="141" t="s">
        <v>63</v>
      </c>
      <c r="R22" s="141">
        <v>3231</v>
      </c>
      <c r="S22" s="141" t="s">
        <v>109</v>
      </c>
      <c r="U22" s="141" t="str">
        <f t="shared" si="8"/>
        <v>32</v>
      </c>
      <c r="V22" s="141" t="str">
        <f t="shared" si="9"/>
        <v>323</v>
      </c>
      <c r="X22" t="s">
        <v>2047</v>
      </c>
      <c r="Y22" t="s">
        <v>2048</v>
      </c>
    </row>
    <row r="23" spans="1:25">
      <c r="A23" s="145" t="str">
        <f>IF(C23="","",VLOOKUP('Opći dio'!$C$3,'Opći dio'!$L$6:$U$136,10,FALSE))</f>
        <v>08006</v>
      </c>
      <c r="B23" s="145" t="str">
        <f>IF(C23="","",VLOOKUP('Opći dio'!$C$3,'Opći dio'!$L$6:$U$136,9,FALSE))</f>
        <v>Sveučilišta i veleučilišta u Republici Hrvatskoj</v>
      </c>
      <c r="C23" s="296">
        <v>31</v>
      </c>
      <c r="D23" s="146" t="str">
        <f t="shared" si="3"/>
        <v>Vlastiti prihodi</v>
      </c>
      <c r="E23" s="297">
        <v>3235</v>
      </c>
      <c r="F23" s="146" t="str">
        <f t="shared" si="4"/>
        <v>Zakupnine i najamnine</v>
      </c>
      <c r="G23" s="298" t="s">
        <v>152</v>
      </c>
      <c r="H23" s="146" t="str">
        <f t="shared" si="5"/>
        <v>REDOVNA DJELATNOST SVEUČILIŠTA U ZAGREBU (IZ EVIDENCIJSKIH PRIHODA)</v>
      </c>
      <c r="I23" s="299">
        <v>70000</v>
      </c>
      <c r="J23" s="299">
        <v>70000</v>
      </c>
      <c r="K23" s="299">
        <v>70000</v>
      </c>
      <c r="M23" s="141" t="str">
        <f t="shared" si="6"/>
        <v>323</v>
      </c>
      <c r="N23" s="141" t="str">
        <f t="shared" si="7"/>
        <v>32</v>
      </c>
      <c r="O23" s="141">
        <v>83</v>
      </c>
      <c r="P23" s="141" t="s">
        <v>1540</v>
      </c>
      <c r="R23" s="141">
        <v>3232</v>
      </c>
      <c r="S23" s="141" t="s">
        <v>96</v>
      </c>
      <c r="U23" s="141" t="str">
        <f t="shared" si="8"/>
        <v>32</v>
      </c>
      <c r="V23" s="141" t="str">
        <f t="shared" si="9"/>
        <v>323</v>
      </c>
      <c r="X23" t="s">
        <v>1217</v>
      </c>
      <c r="Y23" t="s">
        <v>1218</v>
      </c>
    </row>
    <row r="24" spans="1:25">
      <c r="A24" s="145" t="str">
        <f>IF(C24="","",VLOOKUP('Opći dio'!$C$3,'Opći dio'!$L$6:$U$136,10,FALSE))</f>
        <v>08006</v>
      </c>
      <c r="B24" s="145" t="str">
        <f>IF(C24="","",VLOOKUP('Opći dio'!$C$3,'Opći dio'!$L$6:$U$136,9,FALSE))</f>
        <v>Sveučilišta i veleučilišta u Republici Hrvatskoj</v>
      </c>
      <c r="C24" s="296">
        <v>31</v>
      </c>
      <c r="D24" s="146" t="str">
        <f t="shared" si="3"/>
        <v>Vlastiti prihodi</v>
      </c>
      <c r="E24" s="297">
        <v>3237</v>
      </c>
      <c r="F24" s="146" t="str">
        <f t="shared" si="4"/>
        <v>Intelektualne i osobne usluge</v>
      </c>
      <c r="G24" s="298" t="s">
        <v>152</v>
      </c>
      <c r="H24" s="146" t="str">
        <f t="shared" si="5"/>
        <v>REDOVNA DJELATNOST SVEUČILIŠTA U ZAGREBU (IZ EVIDENCIJSKIH PRIHODA)</v>
      </c>
      <c r="I24" s="299">
        <v>3100000</v>
      </c>
      <c r="J24" s="299">
        <v>3215000</v>
      </c>
      <c r="K24" s="299">
        <v>3215000</v>
      </c>
      <c r="M24" s="141" t="str">
        <f t="shared" si="6"/>
        <v>323</v>
      </c>
      <c r="N24" s="141" t="str">
        <f t="shared" si="7"/>
        <v>32</v>
      </c>
      <c r="R24" s="141">
        <v>3233</v>
      </c>
      <c r="S24" s="141" t="s">
        <v>84</v>
      </c>
      <c r="U24" s="141" t="str">
        <f t="shared" si="8"/>
        <v>32</v>
      </c>
      <c r="V24" s="141" t="str">
        <f t="shared" si="9"/>
        <v>323</v>
      </c>
      <c r="X24" t="s">
        <v>1219</v>
      </c>
      <c r="Y24" t="s">
        <v>1220</v>
      </c>
    </row>
    <row r="25" spans="1:25">
      <c r="A25" s="145" t="str">
        <f>IF(C25="","",VLOOKUP('Opći dio'!$C$3,'Opći dio'!$L$6:$U$136,10,FALSE))</f>
        <v>08006</v>
      </c>
      <c r="B25" s="145" t="str">
        <f>IF(C25="","",VLOOKUP('Opći dio'!$C$3,'Opći dio'!$L$6:$U$136,9,FALSE))</f>
        <v>Sveučilišta i veleučilišta u Republici Hrvatskoj</v>
      </c>
      <c r="C25" s="296">
        <v>31</v>
      </c>
      <c r="D25" s="146" t="str">
        <f t="shared" si="3"/>
        <v>Vlastiti prihodi</v>
      </c>
      <c r="E25" s="297">
        <v>3239</v>
      </c>
      <c r="F25" s="146" t="str">
        <f t="shared" si="4"/>
        <v>Ostale usluge</v>
      </c>
      <c r="G25" s="298" t="s">
        <v>152</v>
      </c>
      <c r="H25" s="146" t="str">
        <f t="shared" si="5"/>
        <v>REDOVNA DJELATNOST SVEUČILIŠTA U ZAGREBU (IZ EVIDENCIJSKIH PRIHODA)</v>
      </c>
      <c r="I25" s="299">
        <v>265000</v>
      </c>
      <c r="J25" s="299">
        <v>265000</v>
      </c>
      <c r="K25" s="299">
        <v>265000</v>
      </c>
      <c r="M25" s="141" t="str">
        <f t="shared" si="6"/>
        <v>323</v>
      </c>
      <c r="N25" s="141" t="str">
        <f t="shared" si="7"/>
        <v>32</v>
      </c>
      <c r="R25" s="141">
        <v>3234</v>
      </c>
      <c r="S25" s="141" t="s">
        <v>97</v>
      </c>
      <c r="U25" s="141" t="str">
        <f t="shared" si="8"/>
        <v>32</v>
      </c>
      <c r="V25" s="141" t="str">
        <f t="shared" si="9"/>
        <v>323</v>
      </c>
      <c r="X25" t="s">
        <v>1229</v>
      </c>
      <c r="Y25" t="s">
        <v>1230</v>
      </c>
    </row>
    <row r="26" spans="1:25">
      <c r="A26" s="145" t="str">
        <f>IF(C26="","",VLOOKUP('Opći dio'!$C$3,'Opći dio'!$L$6:$U$136,10,FALSE))</f>
        <v>08006</v>
      </c>
      <c r="B26" s="145" t="str">
        <f>IF(C26="","",VLOOKUP('Opći dio'!$C$3,'Opći dio'!$L$6:$U$136,9,FALSE))</f>
        <v>Sveučilišta i veleučilišta u Republici Hrvatskoj</v>
      </c>
      <c r="C26" s="296">
        <v>31</v>
      </c>
      <c r="D26" s="146" t="str">
        <f t="shared" si="3"/>
        <v>Vlastiti prihodi</v>
      </c>
      <c r="E26" s="297">
        <v>3241</v>
      </c>
      <c r="F26" s="146" t="str">
        <f t="shared" si="4"/>
        <v>Naknade troškova osobama izvan radnog odnosa</v>
      </c>
      <c r="G26" s="298" t="s">
        <v>152</v>
      </c>
      <c r="H26" s="146" t="str">
        <f t="shared" si="5"/>
        <v>REDOVNA DJELATNOST SVEUČILIŠTA U ZAGREBU (IZ EVIDENCIJSKIH PRIHODA)</v>
      </c>
      <c r="I26" s="299">
        <v>80000</v>
      </c>
      <c r="J26" s="299">
        <v>80000</v>
      </c>
      <c r="K26" s="299">
        <v>80000</v>
      </c>
      <c r="M26" s="141" t="str">
        <f t="shared" si="6"/>
        <v>324</v>
      </c>
      <c r="N26" s="141" t="str">
        <f t="shared" si="7"/>
        <v>32</v>
      </c>
      <c r="R26" s="141">
        <v>3235</v>
      </c>
      <c r="S26" s="141" t="s">
        <v>117</v>
      </c>
      <c r="U26" s="141" t="str">
        <f t="shared" si="8"/>
        <v>32</v>
      </c>
      <c r="V26" s="141" t="str">
        <f t="shared" si="9"/>
        <v>323</v>
      </c>
      <c r="X26" t="s">
        <v>2049</v>
      </c>
      <c r="Y26" t="s">
        <v>2050</v>
      </c>
    </row>
    <row r="27" spans="1:25">
      <c r="A27" s="145" t="str">
        <f>IF(C27="","",VLOOKUP('Opći dio'!$C$3,'Opći dio'!$L$6:$U$136,10,FALSE))</f>
        <v>08006</v>
      </c>
      <c r="B27" s="145" t="str">
        <f>IF(C27="","",VLOOKUP('Opći dio'!$C$3,'Opći dio'!$L$6:$U$136,9,FALSE))</f>
        <v>Sveučilišta i veleučilišta u Republici Hrvatskoj</v>
      </c>
      <c r="C27" s="296">
        <v>31</v>
      </c>
      <c r="D27" s="146" t="str">
        <f t="shared" si="3"/>
        <v>Vlastiti prihodi</v>
      </c>
      <c r="E27" s="297">
        <v>3293</v>
      </c>
      <c r="F27" s="146" t="str">
        <f t="shared" si="4"/>
        <v>Reprezentacija</v>
      </c>
      <c r="G27" s="298" t="s">
        <v>152</v>
      </c>
      <c r="H27" s="146" t="str">
        <f t="shared" si="5"/>
        <v>REDOVNA DJELATNOST SVEUČILIŠTA U ZAGREBU (IZ EVIDENCIJSKIH PRIHODA)</v>
      </c>
      <c r="I27" s="299">
        <v>300000</v>
      </c>
      <c r="J27" s="299">
        <v>300000</v>
      </c>
      <c r="K27" s="299">
        <v>300000</v>
      </c>
      <c r="M27" s="141" t="str">
        <f t="shared" si="6"/>
        <v>329</v>
      </c>
      <c r="N27" s="141" t="str">
        <f t="shared" si="7"/>
        <v>32</v>
      </c>
      <c r="R27" s="141">
        <v>3236</v>
      </c>
      <c r="S27" s="141" t="s">
        <v>60</v>
      </c>
      <c r="U27" s="141" t="str">
        <f t="shared" si="8"/>
        <v>32</v>
      </c>
      <c r="V27" s="141" t="str">
        <f t="shared" si="9"/>
        <v>323</v>
      </c>
      <c r="X27" t="s">
        <v>2051</v>
      </c>
      <c r="Y27" t="s">
        <v>2052</v>
      </c>
    </row>
    <row r="28" spans="1:25">
      <c r="A28" s="145" t="str">
        <f>IF(C28="","",VLOOKUP('Opći dio'!$C$3,'Opći dio'!$L$6:$U$136,10,FALSE))</f>
        <v>08006</v>
      </c>
      <c r="B28" s="145" t="str">
        <f>IF(C28="","",VLOOKUP('Opći dio'!$C$3,'Opći dio'!$L$6:$U$136,9,FALSE))</f>
        <v>Sveučilišta i veleučilišta u Republici Hrvatskoj</v>
      </c>
      <c r="C28" s="296">
        <v>31</v>
      </c>
      <c r="D28" s="146" t="str">
        <f t="shared" si="3"/>
        <v>Vlastiti prihodi</v>
      </c>
      <c r="E28" s="297">
        <v>3294</v>
      </c>
      <c r="F28" s="146" t="str">
        <f t="shared" si="4"/>
        <v>Članarine i norme</v>
      </c>
      <c r="G28" s="298" t="s">
        <v>152</v>
      </c>
      <c r="H28" s="146" t="str">
        <f t="shared" si="5"/>
        <v>REDOVNA DJELATNOST SVEUČILIŠTA U ZAGREBU (IZ EVIDENCIJSKIH PRIHODA)</v>
      </c>
      <c r="I28" s="299">
        <v>30000</v>
      </c>
      <c r="J28" s="299">
        <v>30000</v>
      </c>
      <c r="K28" s="299">
        <v>30000</v>
      </c>
      <c r="M28" s="141" t="str">
        <f t="shared" si="6"/>
        <v>329</v>
      </c>
      <c r="N28" s="141" t="str">
        <f t="shared" si="7"/>
        <v>32</v>
      </c>
      <c r="R28" s="141">
        <v>3237</v>
      </c>
      <c r="S28" s="141" t="s">
        <v>73</v>
      </c>
      <c r="U28" s="141" t="str">
        <f t="shared" si="8"/>
        <v>32</v>
      </c>
      <c r="V28" s="141" t="str">
        <f t="shared" si="9"/>
        <v>323</v>
      </c>
      <c r="X28" t="s">
        <v>2053</v>
      </c>
      <c r="Y28" t="s">
        <v>2054</v>
      </c>
    </row>
    <row r="29" spans="1:25">
      <c r="A29" s="145" t="str">
        <f>IF(C29="","",VLOOKUP('Opći dio'!$C$3,'Opći dio'!$L$6:$U$136,10,FALSE))</f>
        <v>08006</v>
      </c>
      <c r="B29" s="145" t="str">
        <f>IF(C29="","",VLOOKUP('Opći dio'!$C$3,'Opći dio'!$L$6:$U$136,9,FALSE))</f>
        <v>Sveučilišta i veleučilišta u Republici Hrvatskoj</v>
      </c>
      <c r="C29" s="296">
        <v>31</v>
      </c>
      <c r="D29" s="146" t="str">
        <f t="shared" si="3"/>
        <v>Vlastiti prihodi</v>
      </c>
      <c r="E29" s="297">
        <v>3295</v>
      </c>
      <c r="F29" s="146" t="str">
        <f t="shared" si="4"/>
        <v>Pristojbe i naknade</v>
      </c>
      <c r="G29" s="298" t="s">
        <v>152</v>
      </c>
      <c r="H29" s="146" t="str">
        <f t="shared" si="5"/>
        <v>REDOVNA DJELATNOST SVEUČILIŠTA U ZAGREBU (IZ EVIDENCIJSKIH PRIHODA)</v>
      </c>
      <c r="I29" s="299">
        <v>25000</v>
      </c>
      <c r="J29" s="299">
        <v>25000</v>
      </c>
      <c r="K29" s="299">
        <v>25000</v>
      </c>
      <c r="M29" s="141" t="str">
        <f t="shared" si="6"/>
        <v>329</v>
      </c>
      <c r="N29" s="141" t="str">
        <f t="shared" si="7"/>
        <v>32</v>
      </c>
      <c r="R29" s="141">
        <v>3238</v>
      </c>
      <c r="S29" s="141" t="s">
        <v>110</v>
      </c>
      <c r="U29" s="141" t="str">
        <f t="shared" si="8"/>
        <v>32</v>
      </c>
      <c r="V29" s="141" t="str">
        <f t="shared" si="9"/>
        <v>323</v>
      </c>
      <c r="X29" t="s">
        <v>1234</v>
      </c>
      <c r="Y29" t="s">
        <v>1235</v>
      </c>
    </row>
    <row r="30" spans="1:25">
      <c r="A30" s="145" t="str">
        <f>IF(C30="","",VLOOKUP('Opći dio'!$C$3,'Opći dio'!$L$6:$U$136,10,FALSE))</f>
        <v>08006</v>
      </c>
      <c r="B30" s="145" t="str">
        <f>IF(C30="","",VLOOKUP('Opći dio'!$C$3,'Opći dio'!$L$6:$U$136,9,FALSE))</f>
        <v>Sveučilišta i veleučilišta u Republici Hrvatskoj</v>
      </c>
      <c r="C30" s="296">
        <v>31</v>
      </c>
      <c r="D30" s="146" t="str">
        <f t="shared" si="3"/>
        <v>Vlastiti prihodi</v>
      </c>
      <c r="E30" s="297">
        <v>3299</v>
      </c>
      <c r="F30" s="146" t="str">
        <f t="shared" si="4"/>
        <v>Ostali nespomenuti rashodi poslovanja</v>
      </c>
      <c r="G30" s="298" t="s">
        <v>152</v>
      </c>
      <c r="H30" s="146" t="str">
        <f t="shared" si="5"/>
        <v>REDOVNA DJELATNOST SVEUČILIŠTA U ZAGREBU (IZ EVIDENCIJSKIH PRIHODA)</v>
      </c>
      <c r="I30" s="299">
        <v>20000</v>
      </c>
      <c r="J30" s="299">
        <v>20000</v>
      </c>
      <c r="K30" s="299">
        <v>20000</v>
      </c>
      <c r="M30" s="141" t="str">
        <f t="shared" si="6"/>
        <v>329</v>
      </c>
      <c r="N30" s="141" t="str">
        <f t="shared" si="7"/>
        <v>32</v>
      </c>
      <c r="R30" s="141">
        <v>3239</v>
      </c>
      <c r="S30" s="141" t="s">
        <v>90</v>
      </c>
      <c r="U30" s="141" t="str">
        <f t="shared" si="8"/>
        <v>32</v>
      </c>
      <c r="V30" s="141" t="str">
        <f t="shared" si="9"/>
        <v>323</v>
      </c>
      <c r="X30" t="s">
        <v>2055</v>
      </c>
      <c r="Y30" t="s">
        <v>2056</v>
      </c>
    </row>
    <row r="31" spans="1:25">
      <c r="A31" s="145" t="str">
        <f>IF(C31="","",VLOOKUP('Opći dio'!$C$3,'Opći dio'!$L$6:$U$136,10,FALSE))</f>
        <v>08006</v>
      </c>
      <c r="B31" s="145" t="str">
        <f>IF(C31="","",VLOOKUP('Opći dio'!$C$3,'Opći dio'!$L$6:$U$136,9,FALSE))</f>
        <v>Sveučilišta i veleučilišta u Republici Hrvatskoj</v>
      </c>
      <c r="C31" s="296">
        <v>31</v>
      </c>
      <c r="D31" s="146" t="str">
        <f t="shared" si="3"/>
        <v>Vlastiti prihodi</v>
      </c>
      <c r="E31" s="297">
        <v>3434</v>
      </c>
      <c r="F31" s="146" t="str">
        <f t="shared" si="4"/>
        <v>Ostali nespomenuti financijski rashodi</v>
      </c>
      <c r="G31" s="298" t="s">
        <v>152</v>
      </c>
      <c r="H31" s="146" t="str">
        <f t="shared" si="5"/>
        <v>REDOVNA DJELATNOST SVEUČILIŠTA U ZAGREBU (IZ EVIDENCIJSKIH PRIHODA)</v>
      </c>
      <c r="I31" s="299">
        <v>30000</v>
      </c>
      <c r="J31" s="299">
        <v>30000</v>
      </c>
      <c r="K31" s="299">
        <v>30000</v>
      </c>
      <c r="M31" s="141" t="str">
        <f t="shared" si="6"/>
        <v>343</v>
      </c>
      <c r="N31" s="141" t="str">
        <f t="shared" si="7"/>
        <v>34</v>
      </c>
      <c r="R31" s="141">
        <v>3241</v>
      </c>
      <c r="S31" s="141" t="s">
        <v>87</v>
      </c>
      <c r="U31" s="141" t="str">
        <f t="shared" si="8"/>
        <v>32</v>
      </c>
      <c r="V31" s="141" t="str">
        <f t="shared" si="9"/>
        <v>324</v>
      </c>
      <c r="X31" t="s">
        <v>1231</v>
      </c>
      <c r="Y31" t="s">
        <v>1232</v>
      </c>
    </row>
    <row r="32" spans="1:25">
      <c r="A32" s="145" t="str">
        <f>IF(C32="","",VLOOKUP('Opći dio'!$C$3,'Opći dio'!$L$6:$U$136,10,FALSE))</f>
        <v>08006</v>
      </c>
      <c r="B32" s="145" t="str">
        <f>IF(C32="","",VLOOKUP('Opći dio'!$C$3,'Opći dio'!$L$6:$U$136,9,FALSE))</f>
        <v>Sveučilišta i veleučilišta u Republici Hrvatskoj</v>
      </c>
      <c r="C32" s="296">
        <v>31</v>
      </c>
      <c r="D32" s="146" t="str">
        <f t="shared" si="3"/>
        <v>Vlastiti prihodi</v>
      </c>
      <c r="E32" s="297">
        <v>3721</v>
      </c>
      <c r="F32" s="146" t="str">
        <f t="shared" si="4"/>
        <v>Naknade građanima i kućanstvima u novcu</v>
      </c>
      <c r="G32" s="298" t="s">
        <v>152</v>
      </c>
      <c r="H32" s="146" t="str">
        <f t="shared" si="5"/>
        <v>REDOVNA DJELATNOST SVEUČILIŠTA U ZAGREBU (IZ EVIDENCIJSKIH PRIHODA)</v>
      </c>
      <c r="I32" s="299">
        <v>130000</v>
      </c>
      <c r="J32" s="299">
        <v>130000</v>
      </c>
      <c r="K32" s="299">
        <v>130000</v>
      </c>
      <c r="M32" s="141" t="str">
        <f t="shared" si="6"/>
        <v>372</v>
      </c>
      <c r="N32" s="141" t="str">
        <f t="shared" si="7"/>
        <v>37</v>
      </c>
      <c r="R32" s="141">
        <v>3291</v>
      </c>
      <c r="S32" s="141" t="s">
        <v>88</v>
      </c>
      <c r="U32" s="141" t="str">
        <f t="shared" si="8"/>
        <v>32</v>
      </c>
      <c r="V32" s="141" t="str">
        <f t="shared" si="9"/>
        <v>329</v>
      </c>
      <c r="X32" t="s">
        <v>1221</v>
      </c>
      <c r="Y32" t="s">
        <v>1222</v>
      </c>
    </row>
    <row r="33" spans="1:25">
      <c r="A33" s="145" t="str">
        <f>IF(C33="","",VLOOKUP('Opći dio'!$C$3,'Opći dio'!$L$6:$U$136,10,FALSE))</f>
        <v>08006</v>
      </c>
      <c r="B33" s="145" t="str">
        <f>IF(C33="","",VLOOKUP('Opći dio'!$C$3,'Opći dio'!$L$6:$U$136,9,FALSE))</f>
        <v>Sveučilišta i veleučilišta u Republici Hrvatskoj</v>
      </c>
      <c r="C33" s="296">
        <v>31</v>
      </c>
      <c r="D33" s="146" t="str">
        <f t="shared" si="3"/>
        <v>Vlastiti prihodi</v>
      </c>
      <c r="E33" s="297">
        <v>4221</v>
      </c>
      <c r="F33" s="146" t="str">
        <f t="shared" si="4"/>
        <v>Uredska oprema i namještaj</v>
      </c>
      <c r="G33" s="298" t="s">
        <v>152</v>
      </c>
      <c r="H33" s="146" t="str">
        <f t="shared" si="5"/>
        <v>REDOVNA DJELATNOST SVEUČILIŠTA U ZAGREBU (IZ EVIDENCIJSKIH PRIHODA)</v>
      </c>
      <c r="I33" s="299">
        <v>250000</v>
      </c>
      <c r="J33" s="299">
        <v>250000</v>
      </c>
      <c r="K33" s="299">
        <v>250000</v>
      </c>
      <c r="M33" s="141" t="str">
        <f t="shared" si="6"/>
        <v>422</v>
      </c>
      <c r="N33" s="141" t="str">
        <f t="shared" si="7"/>
        <v>42</v>
      </c>
      <c r="R33" s="141">
        <v>3292</v>
      </c>
      <c r="S33" s="141" t="s">
        <v>81</v>
      </c>
      <c r="U33" s="141" t="str">
        <f t="shared" si="8"/>
        <v>32</v>
      </c>
      <c r="V33" s="141" t="str">
        <f t="shared" si="9"/>
        <v>329</v>
      </c>
      <c r="X33" t="s">
        <v>2057</v>
      </c>
      <c r="Y33" t="s">
        <v>2058</v>
      </c>
    </row>
    <row r="34" spans="1:25">
      <c r="A34" s="145" t="str">
        <f>IF(C34="","",VLOOKUP('Opći dio'!$C$3,'Opći dio'!$L$6:$U$136,10,FALSE))</f>
        <v>08006</v>
      </c>
      <c r="B34" s="145" t="str">
        <f>IF(C34="","",VLOOKUP('Opći dio'!$C$3,'Opći dio'!$L$6:$U$136,9,FALSE))</f>
        <v>Sveučilišta i veleučilišta u Republici Hrvatskoj</v>
      </c>
      <c r="C34" s="296">
        <v>31</v>
      </c>
      <c r="D34" s="146" t="str">
        <f t="shared" si="3"/>
        <v>Vlastiti prihodi</v>
      </c>
      <c r="E34" s="297">
        <v>4241</v>
      </c>
      <c r="F34" s="146" t="str">
        <f t="shared" si="4"/>
        <v>Knjige</v>
      </c>
      <c r="G34" s="298" t="s">
        <v>152</v>
      </c>
      <c r="H34" s="146" t="str">
        <f t="shared" si="5"/>
        <v>REDOVNA DJELATNOST SVEUČILIŠTA U ZAGREBU (IZ EVIDENCIJSKIH PRIHODA)</v>
      </c>
      <c r="I34" s="299">
        <v>125000</v>
      </c>
      <c r="J34" s="299">
        <v>200000</v>
      </c>
      <c r="K34" s="299">
        <v>200000</v>
      </c>
      <c r="M34" s="141" t="str">
        <f t="shared" si="6"/>
        <v>424</v>
      </c>
      <c r="N34" s="141" t="str">
        <f t="shared" si="7"/>
        <v>42</v>
      </c>
      <c r="R34" s="141">
        <v>3293</v>
      </c>
      <c r="S34" s="141" t="s">
        <v>91</v>
      </c>
      <c r="U34" s="141" t="str">
        <f t="shared" si="8"/>
        <v>32</v>
      </c>
      <c r="V34" s="141" t="str">
        <f t="shared" si="9"/>
        <v>329</v>
      </c>
      <c r="X34" t="s">
        <v>2059</v>
      </c>
      <c r="Y34" t="s">
        <v>2060</v>
      </c>
    </row>
    <row r="35" spans="1:25">
      <c r="A35" s="145" t="str">
        <f>IF(C35="","",VLOOKUP('Opći dio'!$C$3,'Opći dio'!$L$6:$U$136,10,FALSE))</f>
        <v>08006</v>
      </c>
      <c r="B35" s="145" t="str">
        <f>IF(C35="","",VLOOKUP('Opći dio'!$C$3,'Opći dio'!$L$6:$U$136,9,FALSE))</f>
        <v>Sveučilišta i veleučilišta u Republici Hrvatskoj</v>
      </c>
      <c r="C35" s="296">
        <v>43</v>
      </c>
      <c r="D35" s="146" t="str">
        <f t="shared" si="3"/>
        <v>Ostali prihodi za posebne namjene</v>
      </c>
      <c r="E35" s="297">
        <v>3111</v>
      </c>
      <c r="F35" s="146" t="str">
        <f t="shared" si="4"/>
        <v>Plaće za redovan rad</v>
      </c>
      <c r="G35" s="298" t="s">
        <v>152</v>
      </c>
      <c r="H35" s="146" t="str">
        <f t="shared" si="5"/>
        <v>REDOVNA DJELATNOST SVEUČILIŠTA U ZAGREBU (IZ EVIDENCIJSKIH PRIHODA)</v>
      </c>
      <c r="I35" s="299">
        <v>2000000</v>
      </c>
      <c r="J35" s="299">
        <v>2000000</v>
      </c>
      <c r="K35" s="299">
        <v>2000000</v>
      </c>
      <c r="M35" s="141" t="str">
        <f t="shared" si="6"/>
        <v>311</v>
      </c>
      <c r="N35" s="141" t="str">
        <f t="shared" si="7"/>
        <v>31</v>
      </c>
      <c r="R35" s="141">
        <v>3293</v>
      </c>
      <c r="S35" s="141" t="s">
        <v>138</v>
      </c>
      <c r="U35" s="141" t="str">
        <f t="shared" si="8"/>
        <v>32</v>
      </c>
      <c r="V35" s="141" t="str">
        <f t="shared" si="9"/>
        <v>329</v>
      </c>
      <c r="X35" t="s">
        <v>2061</v>
      </c>
      <c r="Y35" t="s">
        <v>2062</v>
      </c>
    </row>
    <row r="36" spans="1:25">
      <c r="A36" s="145" t="str">
        <f>IF(C36="","",VLOOKUP('Opći dio'!$C$3,'Opći dio'!$L$6:$U$136,10,FALSE))</f>
        <v>08006</v>
      </c>
      <c r="B36" s="145" t="str">
        <f>IF(C36="","",VLOOKUP('Opći dio'!$C$3,'Opći dio'!$L$6:$U$136,9,FALSE))</f>
        <v>Sveučilišta i veleučilišta u Republici Hrvatskoj</v>
      </c>
      <c r="C36" s="296">
        <v>43</v>
      </c>
      <c r="D36" s="146" t="str">
        <f t="shared" si="3"/>
        <v>Ostali prihodi za posebne namjene</v>
      </c>
      <c r="E36" s="297">
        <v>3121</v>
      </c>
      <c r="F36" s="146" t="str">
        <f t="shared" si="4"/>
        <v>Ostali rashodi za zaposlene</v>
      </c>
      <c r="G36" s="298" t="s">
        <v>152</v>
      </c>
      <c r="H36" s="146" t="str">
        <f t="shared" si="5"/>
        <v>REDOVNA DJELATNOST SVEUČILIŠTA U ZAGREBU (IZ EVIDENCIJSKIH PRIHODA)</v>
      </c>
      <c r="I36" s="299">
        <v>100000</v>
      </c>
      <c r="J36" s="299">
        <v>100000</v>
      </c>
      <c r="K36" s="299">
        <v>100000</v>
      </c>
      <c r="M36" s="141" t="str">
        <f t="shared" si="6"/>
        <v>312</v>
      </c>
      <c r="N36" s="141" t="str">
        <f t="shared" si="7"/>
        <v>31</v>
      </c>
      <c r="R36" s="141">
        <v>3294</v>
      </c>
      <c r="S36" s="141" t="s">
        <v>92</v>
      </c>
      <c r="U36" s="141" t="str">
        <f t="shared" si="8"/>
        <v>32</v>
      </c>
      <c r="V36" s="141" t="str">
        <f t="shared" si="9"/>
        <v>329</v>
      </c>
      <c r="X36" t="s">
        <v>2063</v>
      </c>
      <c r="Y36" t="s">
        <v>2064</v>
      </c>
    </row>
    <row r="37" spans="1:25">
      <c r="A37" s="145" t="str">
        <f>IF(C37="","",VLOOKUP('Opći dio'!$C$3,'Opći dio'!$L$6:$U$136,10,FALSE))</f>
        <v>08006</v>
      </c>
      <c r="B37" s="145" t="str">
        <f>IF(C37="","",VLOOKUP('Opći dio'!$C$3,'Opći dio'!$L$6:$U$136,9,FALSE))</f>
        <v>Sveučilišta i veleučilišta u Republici Hrvatskoj</v>
      </c>
      <c r="C37" s="296">
        <v>43</v>
      </c>
      <c r="D37" s="146" t="str">
        <f t="shared" si="3"/>
        <v>Ostali prihodi za posebne namjene</v>
      </c>
      <c r="E37" s="297">
        <v>3132</v>
      </c>
      <c r="F37" s="146" t="str">
        <f t="shared" si="4"/>
        <v>Doprinosi za obvezno zdravstveno osiguranje</v>
      </c>
      <c r="G37" s="298" t="s">
        <v>152</v>
      </c>
      <c r="H37" s="146" t="str">
        <f t="shared" si="5"/>
        <v>REDOVNA DJELATNOST SVEUČILIŠTA U ZAGREBU (IZ EVIDENCIJSKIH PRIHODA)</v>
      </c>
      <c r="I37" s="299">
        <v>250000</v>
      </c>
      <c r="J37" s="299">
        <v>250000</v>
      </c>
      <c r="K37" s="299">
        <v>250000</v>
      </c>
      <c r="M37" s="141" t="str">
        <f t="shared" si="6"/>
        <v>313</v>
      </c>
      <c r="N37" s="141" t="str">
        <f t="shared" si="7"/>
        <v>31</v>
      </c>
      <c r="R37" s="141">
        <v>3295</v>
      </c>
      <c r="S37" s="141" t="s">
        <v>61</v>
      </c>
      <c r="U37" s="141" t="str">
        <f t="shared" si="8"/>
        <v>32</v>
      </c>
      <c r="V37" s="141" t="str">
        <f t="shared" si="9"/>
        <v>329</v>
      </c>
      <c r="X37" t="s">
        <v>1233</v>
      </c>
      <c r="Y37" t="s">
        <v>2065</v>
      </c>
    </row>
    <row r="38" spans="1:25">
      <c r="A38" s="145" t="str">
        <f>IF(C38="","",VLOOKUP('Opći dio'!$C$3,'Opći dio'!$L$6:$U$136,10,FALSE))</f>
        <v>08006</v>
      </c>
      <c r="B38" s="145" t="str">
        <f>IF(C38="","",VLOOKUP('Opći dio'!$C$3,'Opći dio'!$L$6:$U$136,9,FALSE))</f>
        <v>Sveučilišta i veleučilišta u Republici Hrvatskoj</v>
      </c>
      <c r="C38" s="296">
        <v>43</v>
      </c>
      <c r="D38" s="146" t="str">
        <f t="shared" si="3"/>
        <v>Ostali prihodi za posebne namjene</v>
      </c>
      <c r="E38" s="297">
        <v>3211</v>
      </c>
      <c r="F38" s="146" t="str">
        <f t="shared" si="4"/>
        <v>Službena putovanja</v>
      </c>
      <c r="G38" s="298" t="s">
        <v>152</v>
      </c>
      <c r="H38" s="146" t="str">
        <f t="shared" si="5"/>
        <v>REDOVNA DJELATNOST SVEUČILIŠTA U ZAGREBU (IZ EVIDENCIJSKIH PRIHODA)</v>
      </c>
      <c r="I38" s="299">
        <v>1050000</v>
      </c>
      <c r="J38" s="299">
        <v>2915000</v>
      </c>
      <c r="K38" s="299">
        <v>2915000</v>
      </c>
      <c r="M38" s="141" t="str">
        <f t="shared" si="6"/>
        <v>321</v>
      </c>
      <c r="N38" s="141" t="str">
        <f t="shared" si="7"/>
        <v>32</v>
      </c>
      <c r="R38" s="141">
        <v>3296</v>
      </c>
      <c r="S38" s="141" t="s">
        <v>155</v>
      </c>
      <c r="U38" s="141" t="str">
        <f t="shared" si="8"/>
        <v>32</v>
      </c>
      <c r="V38" s="141" t="str">
        <f t="shared" si="9"/>
        <v>329</v>
      </c>
      <c r="X38" t="s">
        <v>2066</v>
      </c>
      <c r="Y38" t="s">
        <v>2067</v>
      </c>
    </row>
    <row r="39" spans="1:25">
      <c r="A39" s="145" t="str">
        <f>IF(C39="","",VLOOKUP('Opći dio'!$C$3,'Opći dio'!$L$6:$U$136,10,FALSE))</f>
        <v>08006</v>
      </c>
      <c r="B39" s="145" t="str">
        <f>IF(C39="","",VLOOKUP('Opći dio'!$C$3,'Opći dio'!$L$6:$U$136,9,FALSE))</f>
        <v>Sveučilišta i veleučilišta u Republici Hrvatskoj</v>
      </c>
      <c r="C39" s="296">
        <v>43</v>
      </c>
      <c r="D39" s="146" t="str">
        <f t="shared" si="3"/>
        <v>Ostali prihodi za posebne namjene</v>
      </c>
      <c r="E39" s="297">
        <v>3221</v>
      </c>
      <c r="F39" s="146" t="str">
        <f t="shared" si="4"/>
        <v>Uredski materijal i ostali materijalni rashodi</v>
      </c>
      <c r="G39" s="298" t="s">
        <v>152</v>
      </c>
      <c r="H39" s="146" t="str">
        <f t="shared" si="5"/>
        <v>REDOVNA DJELATNOST SVEUČILIŠTA U ZAGREBU (IZ EVIDENCIJSKIH PRIHODA)</v>
      </c>
      <c r="I39" s="299">
        <v>150000</v>
      </c>
      <c r="J39" s="299">
        <v>100000</v>
      </c>
      <c r="K39" s="299">
        <v>100000</v>
      </c>
      <c r="M39" s="141" t="str">
        <f t="shared" si="6"/>
        <v>322</v>
      </c>
      <c r="N39" s="141" t="str">
        <f t="shared" si="7"/>
        <v>32</v>
      </c>
      <c r="R39" s="141">
        <v>3299</v>
      </c>
      <c r="S39" s="141" t="s">
        <v>64</v>
      </c>
      <c r="U39" s="141" t="str">
        <f t="shared" si="8"/>
        <v>32</v>
      </c>
      <c r="V39" s="141" t="str">
        <f t="shared" si="9"/>
        <v>329</v>
      </c>
      <c r="X39" t="s">
        <v>1224</v>
      </c>
      <c r="Y39" t="s">
        <v>813</v>
      </c>
    </row>
    <row r="40" spans="1:25">
      <c r="A40" s="145" t="str">
        <f>IF(C40="","",VLOOKUP('Opći dio'!$C$3,'Opći dio'!$L$6:$U$136,10,FALSE))</f>
        <v>08006</v>
      </c>
      <c r="B40" s="145" t="str">
        <f>IF(C40="","",VLOOKUP('Opći dio'!$C$3,'Opći dio'!$L$6:$U$136,9,FALSE))</f>
        <v>Sveučilišta i veleučilišta u Republici Hrvatskoj</v>
      </c>
      <c r="C40" s="296">
        <v>43</v>
      </c>
      <c r="D40" s="146" t="str">
        <f t="shared" si="3"/>
        <v>Ostali prihodi za posebne namjene</v>
      </c>
      <c r="E40" s="297">
        <v>3224</v>
      </c>
      <c r="F40" s="146" t="str">
        <f t="shared" si="4"/>
        <v>Materijal i dijelovi za tekuće i investicijsko održavanje</v>
      </c>
      <c r="G40" s="298" t="s">
        <v>152</v>
      </c>
      <c r="H40" s="146" t="str">
        <f t="shared" si="5"/>
        <v>REDOVNA DJELATNOST SVEUČILIŠTA U ZAGREBU (IZ EVIDENCIJSKIH PRIHODA)</v>
      </c>
      <c r="I40" s="299">
        <v>150000</v>
      </c>
      <c r="J40" s="299">
        <v>100000</v>
      </c>
      <c r="K40" s="299">
        <v>100000</v>
      </c>
      <c r="M40" s="141" t="str">
        <f t="shared" si="6"/>
        <v>322</v>
      </c>
      <c r="N40" s="141" t="str">
        <f t="shared" si="7"/>
        <v>32</v>
      </c>
      <c r="R40" s="141">
        <v>3411</v>
      </c>
      <c r="S40" s="141" t="s">
        <v>193</v>
      </c>
      <c r="U40" s="141" t="str">
        <f t="shared" si="8"/>
        <v>34</v>
      </c>
      <c r="V40" s="141" t="str">
        <f t="shared" si="9"/>
        <v>341</v>
      </c>
      <c r="X40" t="s">
        <v>2068</v>
      </c>
      <c r="Y40" t="s">
        <v>2069</v>
      </c>
    </row>
    <row r="41" spans="1:25">
      <c r="A41" s="145" t="str">
        <f>IF(C41="","",VLOOKUP('Opći dio'!$C$3,'Opći dio'!$L$6:$U$136,10,FALSE))</f>
        <v>08006</v>
      </c>
      <c r="B41" s="145" t="str">
        <f>IF(C41="","",VLOOKUP('Opći dio'!$C$3,'Opći dio'!$L$6:$U$136,9,FALSE))</f>
        <v>Sveučilišta i veleučilišta u Republici Hrvatskoj</v>
      </c>
      <c r="C41" s="296">
        <v>43</v>
      </c>
      <c r="D41" s="146" t="str">
        <f t="shared" si="3"/>
        <v>Ostali prihodi za posebne namjene</v>
      </c>
      <c r="E41" s="297">
        <v>3231</v>
      </c>
      <c r="F41" s="146" t="str">
        <f t="shared" si="4"/>
        <v>Usluge telefona, pošte i prijevoza</v>
      </c>
      <c r="G41" s="298" t="s">
        <v>152</v>
      </c>
      <c r="H41" s="146" t="str">
        <f t="shared" si="5"/>
        <v>REDOVNA DJELATNOST SVEUČILIŠTA U ZAGREBU (IZ EVIDENCIJSKIH PRIHODA)</v>
      </c>
      <c r="I41" s="299">
        <v>150000</v>
      </c>
      <c r="J41" s="299">
        <v>150000</v>
      </c>
      <c r="K41" s="299">
        <v>150000</v>
      </c>
      <c r="M41" s="141" t="str">
        <f t="shared" si="6"/>
        <v>323</v>
      </c>
      <c r="N41" s="141" t="str">
        <f t="shared" si="7"/>
        <v>32</v>
      </c>
      <c r="R41" s="141">
        <v>3422</v>
      </c>
      <c r="S41" s="141" t="s">
        <v>156</v>
      </c>
      <c r="U41" s="141" t="str">
        <f t="shared" si="8"/>
        <v>34</v>
      </c>
      <c r="V41" s="141" t="str">
        <f t="shared" si="9"/>
        <v>342</v>
      </c>
      <c r="X41" t="s">
        <v>2124</v>
      </c>
      <c r="Y41" t="s">
        <v>2125</v>
      </c>
    </row>
    <row r="42" spans="1:25">
      <c r="A42" s="145" t="str">
        <f>IF(C42="","",VLOOKUP('Opći dio'!$C$3,'Opći dio'!$L$6:$U$136,10,FALSE))</f>
        <v>08006</v>
      </c>
      <c r="B42" s="145" t="str">
        <f>IF(C42="","",VLOOKUP('Opći dio'!$C$3,'Opći dio'!$L$6:$U$136,9,FALSE))</f>
        <v>Sveučilišta i veleučilišta u Republici Hrvatskoj</v>
      </c>
      <c r="C42" s="296">
        <v>43</v>
      </c>
      <c r="D42" s="146" t="str">
        <f t="shared" si="3"/>
        <v>Ostali prihodi za posebne namjene</v>
      </c>
      <c r="E42" s="297">
        <v>3237</v>
      </c>
      <c r="F42" s="146" t="str">
        <f t="shared" si="4"/>
        <v>Intelektualne i osobne usluge</v>
      </c>
      <c r="G42" s="298" t="s">
        <v>152</v>
      </c>
      <c r="H42" s="146" t="str">
        <f t="shared" si="5"/>
        <v>REDOVNA DJELATNOST SVEUČILIŠTA U ZAGREBU (IZ EVIDENCIJSKIH PRIHODA)</v>
      </c>
      <c r="I42" s="299">
        <v>670000</v>
      </c>
      <c r="J42" s="299">
        <v>450000</v>
      </c>
      <c r="K42" s="299">
        <v>450000</v>
      </c>
      <c r="M42" s="141" t="str">
        <f t="shared" si="6"/>
        <v>323</v>
      </c>
      <c r="N42" s="141" t="str">
        <f t="shared" si="7"/>
        <v>32</v>
      </c>
      <c r="R42" s="141">
        <v>3423</v>
      </c>
      <c r="S42" s="141" t="s">
        <v>156</v>
      </c>
      <c r="U42" s="141" t="str">
        <f t="shared" ref="U42:U73" si="10">LEFT(R42,2)</f>
        <v>34</v>
      </c>
      <c r="V42" s="141" t="str">
        <f t="shared" ref="V42:V73" si="11">LEFT(R42,3)</f>
        <v>342</v>
      </c>
      <c r="X42" t="s">
        <v>2135</v>
      </c>
      <c r="Y42" t="s">
        <v>2134</v>
      </c>
    </row>
    <row r="43" spans="1:25">
      <c r="A43" s="145" t="str">
        <f>IF(C43="","",VLOOKUP('Opći dio'!$C$3,'Opći dio'!$L$6:$U$136,10,FALSE))</f>
        <v>08006</v>
      </c>
      <c r="B43" s="145" t="str">
        <f>IF(C43="","",VLOOKUP('Opći dio'!$C$3,'Opći dio'!$L$6:$U$136,9,FALSE))</f>
        <v>Sveučilišta i veleučilišta u Republici Hrvatskoj</v>
      </c>
      <c r="C43" s="296">
        <v>43</v>
      </c>
      <c r="D43" s="146" t="str">
        <f t="shared" si="3"/>
        <v>Ostali prihodi za posebne namjene</v>
      </c>
      <c r="E43" s="297">
        <v>3238</v>
      </c>
      <c r="F43" s="146" t="str">
        <f t="shared" si="4"/>
        <v>Računalne usluge</v>
      </c>
      <c r="G43" s="298" t="s">
        <v>152</v>
      </c>
      <c r="H43" s="146" t="str">
        <f t="shared" si="5"/>
        <v>REDOVNA DJELATNOST SVEUČILIŠTA U ZAGREBU (IZ EVIDENCIJSKIH PRIHODA)</v>
      </c>
      <c r="I43" s="299">
        <v>350000</v>
      </c>
      <c r="J43" s="299">
        <v>200000</v>
      </c>
      <c r="K43" s="299">
        <v>200000</v>
      </c>
      <c r="M43" s="141" t="str">
        <f t="shared" si="6"/>
        <v>323</v>
      </c>
      <c r="N43" s="141" t="str">
        <f t="shared" si="7"/>
        <v>32</v>
      </c>
      <c r="R43" s="141">
        <v>3427</v>
      </c>
      <c r="S43" s="141" t="s">
        <v>195</v>
      </c>
      <c r="U43" s="141" t="str">
        <f t="shared" si="10"/>
        <v>34</v>
      </c>
      <c r="V43" s="141" t="str">
        <f t="shared" si="11"/>
        <v>342</v>
      </c>
      <c r="X43" t="s">
        <v>55</v>
      </c>
      <c r="Y43" t="s">
        <v>56</v>
      </c>
    </row>
    <row r="44" spans="1:25">
      <c r="A44" s="145" t="str">
        <f>IF(C44="","",VLOOKUP('Opći dio'!$C$3,'Opći dio'!$L$6:$U$136,10,FALSE))</f>
        <v>08006</v>
      </c>
      <c r="B44" s="145" t="str">
        <f>IF(C44="","",VLOOKUP('Opći dio'!$C$3,'Opći dio'!$L$6:$U$136,9,FALSE))</f>
        <v>Sveučilišta i veleučilišta u Republici Hrvatskoj</v>
      </c>
      <c r="C44" s="296">
        <v>43</v>
      </c>
      <c r="D44" s="146" t="str">
        <f t="shared" si="3"/>
        <v>Ostali prihodi za posebne namjene</v>
      </c>
      <c r="E44" s="297">
        <v>3239</v>
      </c>
      <c r="F44" s="146" t="str">
        <f t="shared" si="4"/>
        <v>Ostale usluge</v>
      </c>
      <c r="G44" s="298" t="s">
        <v>152</v>
      </c>
      <c r="H44" s="146" t="str">
        <f t="shared" si="5"/>
        <v>REDOVNA DJELATNOST SVEUČILIŠTA U ZAGREBU (IZ EVIDENCIJSKIH PRIHODA)</v>
      </c>
      <c r="I44" s="299">
        <v>170000</v>
      </c>
      <c r="J44" s="299">
        <v>130000</v>
      </c>
      <c r="K44" s="299">
        <v>130000</v>
      </c>
      <c r="M44" s="141" t="str">
        <f t="shared" si="6"/>
        <v>323</v>
      </c>
      <c r="N44" s="141" t="str">
        <f t="shared" si="7"/>
        <v>32</v>
      </c>
      <c r="R44" s="141">
        <v>3431</v>
      </c>
      <c r="S44" s="141" t="s">
        <v>89</v>
      </c>
      <c r="U44" s="141" t="str">
        <f t="shared" si="10"/>
        <v>34</v>
      </c>
      <c r="V44" s="141" t="str">
        <f t="shared" si="11"/>
        <v>343</v>
      </c>
      <c r="X44" t="s">
        <v>65</v>
      </c>
      <c r="Y44" t="s">
        <v>66</v>
      </c>
    </row>
    <row r="45" spans="1:25">
      <c r="A45" s="145" t="str">
        <f>IF(C45="","",VLOOKUP('Opći dio'!$C$3,'Opći dio'!$L$6:$U$136,10,FALSE))</f>
        <v>08006</v>
      </c>
      <c r="B45" s="145" t="str">
        <f>IF(C45="","",VLOOKUP('Opći dio'!$C$3,'Opći dio'!$L$6:$U$136,9,FALSE))</f>
        <v>Sveučilišta i veleučilišta u Republici Hrvatskoj</v>
      </c>
      <c r="C45" s="296">
        <v>43</v>
      </c>
      <c r="D45" s="146" t="str">
        <f t="shared" si="3"/>
        <v>Ostali prihodi za posebne namjene</v>
      </c>
      <c r="E45" s="297">
        <v>3241</v>
      </c>
      <c r="F45" s="146" t="str">
        <f t="shared" si="4"/>
        <v>Naknade troškova osobama izvan radnog odnosa</v>
      </c>
      <c r="G45" s="298" t="s">
        <v>152</v>
      </c>
      <c r="H45" s="146" t="str">
        <f t="shared" si="5"/>
        <v>REDOVNA DJELATNOST SVEUČILIŠTA U ZAGREBU (IZ EVIDENCIJSKIH PRIHODA)</v>
      </c>
      <c r="I45" s="299">
        <v>455000</v>
      </c>
      <c r="J45" s="299">
        <v>300000</v>
      </c>
      <c r="K45" s="299">
        <v>300000</v>
      </c>
      <c r="M45" s="141" t="str">
        <f t="shared" si="6"/>
        <v>324</v>
      </c>
      <c r="N45" s="141" t="str">
        <f t="shared" si="7"/>
        <v>32</v>
      </c>
      <c r="R45" s="141">
        <v>3432</v>
      </c>
      <c r="S45" s="141" t="s">
        <v>105</v>
      </c>
      <c r="U45" s="141" t="str">
        <f t="shared" si="10"/>
        <v>34</v>
      </c>
      <c r="V45" s="141" t="str">
        <f t="shared" si="11"/>
        <v>343</v>
      </c>
      <c r="X45" t="s">
        <v>68</v>
      </c>
      <c r="Y45" t="s">
        <v>69</v>
      </c>
    </row>
    <row r="46" spans="1:25">
      <c r="A46" s="145" t="str">
        <f>IF(C46="","",VLOOKUP('Opći dio'!$C$3,'Opći dio'!$L$6:$U$136,10,FALSE))</f>
        <v>08006</v>
      </c>
      <c r="B46" s="145" t="str">
        <f>IF(C46="","",VLOOKUP('Opći dio'!$C$3,'Opći dio'!$L$6:$U$136,9,FALSE))</f>
        <v>Sveučilišta i veleučilišta u Republici Hrvatskoj</v>
      </c>
      <c r="C46" s="296">
        <v>43</v>
      </c>
      <c r="D46" s="146" t="str">
        <f t="shared" si="3"/>
        <v>Ostali prihodi za posebne namjene</v>
      </c>
      <c r="E46" s="297">
        <v>3292</v>
      </c>
      <c r="F46" s="146" t="str">
        <f t="shared" si="4"/>
        <v>Premije osiguranja</v>
      </c>
      <c r="G46" s="298" t="s">
        <v>152</v>
      </c>
      <c r="H46" s="146" t="str">
        <f t="shared" si="5"/>
        <v>REDOVNA DJELATNOST SVEUČILIŠTA U ZAGREBU (IZ EVIDENCIJSKIH PRIHODA)</v>
      </c>
      <c r="I46" s="299">
        <v>25000</v>
      </c>
      <c r="J46" s="299">
        <v>25000</v>
      </c>
      <c r="K46" s="299">
        <v>25000</v>
      </c>
      <c r="M46" s="141" t="str">
        <f t="shared" si="6"/>
        <v>329</v>
      </c>
      <c r="N46" s="141" t="str">
        <f t="shared" si="7"/>
        <v>32</v>
      </c>
      <c r="R46" s="141">
        <v>3433</v>
      </c>
      <c r="S46" s="141" t="s">
        <v>143</v>
      </c>
      <c r="U46" s="141" t="str">
        <f t="shared" si="10"/>
        <v>34</v>
      </c>
      <c r="V46" s="141" t="str">
        <f t="shared" si="11"/>
        <v>343</v>
      </c>
      <c r="X46" t="s">
        <v>70</v>
      </c>
      <c r="Y46" t="s">
        <v>71</v>
      </c>
    </row>
    <row r="47" spans="1:25">
      <c r="A47" s="145" t="str">
        <f>IF(C47="","",VLOOKUP('Opći dio'!$C$3,'Opći dio'!$L$6:$U$136,10,FALSE))</f>
        <v>08006</v>
      </c>
      <c r="B47" s="145" t="str">
        <f>IF(C47="","",VLOOKUP('Opći dio'!$C$3,'Opći dio'!$L$6:$U$136,9,FALSE))</f>
        <v>Sveučilišta i veleučilišta u Republici Hrvatskoj</v>
      </c>
      <c r="C47" s="296">
        <v>43</v>
      </c>
      <c r="D47" s="146" t="str">
        <f t="shared" si="3"/>
        <v>Ostali prihodi za posebne namjene</v>
      </c>
      <c r="E47" s="297">
        <v>3293</v>
      </c>
      <c r="F47" s="146" t="str">
        <f t="shared" si="4"/>
        <v>Reprezentacija</v>
      </c>
      <c r="G47" s="298" t="s">
        <v>152</v>
      </c>
      <c r="H47" s="146" t="str">
        <f t="shared" si="5"/>
        <v>REDOVNA DJELATNOST SVEUČILIŠTA U ZAGREBU (IZ EVIDENCIJSKIH PRIHODA)</v>
      </c>
      <c r="I47" s="299">
        <v>150000</v>
      </c>
      <c r="J47" s="299">
        <v>150000</v>
      </c>
      <c r="K47" s="299">
        <v>150000</v>
      </c>
      <c r="M47" s="141" t="str">
        <f t="shared" si="6"/>
        <v>329</v>
      </c>
      <c r="N47" s="141" t="str">
        <f t="shared" si="7"/>
        <v>32</v>
      </c>
      <c r="R47" s="141">
        <v>3434</v>
      </c>
      <c r="S47" s="141" t="s">
        <v>74</v>
      </c>
      <c r="U47" s="141" t="str">
        <f t="shared" si="10"/>
        <v>34</v>
      </c>
      <c r="V47" s="141" t="str">
        <f t="shared" si="11"/>
        <v>343</v>
      </c>
      <c r="X47" t="s">
        <v>803</v>
      </c>
      <c r="Y47" t="s">
        <v>804</v>
      </c>
    </row>
    <row r="48" spans="1:25">
      <c r="A48" s="145" t="str">
        <f>IF(C48="","",VLOOKUP('Opći dio'!$C$3,'Opći dio'!$L$6:$U$136,10,FALSE))</f>
        <v>08006</v>
      </c>
      <c r="B48" s="145" t="str">
        <f>IF(C48="","",VLOOKUP('Opći dio'!$C$3,'Opći dio'!$L$6:$U$136,9,FALSE))</f>
        <v>Sveučilišta i veleučilišta u Republici Hrvatskoj</v>
      </c>
      <c r="C48" s="296">
        <v>43</v>
      </c>
      <c r="D48" s="146" t="str">
        <f t="shared" si="3"/>
        <v>Ostali prihodi za posebne namjene</v>
      </c>
      <c r="E48" s="297">
        <v>3294</v>
      </c>
      <c r="F48" s="146" t="str">
        <f t="shared" si="4"/>
        <v>Članarine i norme</v>
      </c>
      <c r="G48" s="298" t="s">
        <v>152</v>
      </c>
      <c r="H48" s="146" t="str">
        <f t="shared" si="5"/>
        <v>REDOVNA DJELATNOST SVEUČILIŠTA U ZAGREBU (IZ EVIDENCIJSKIH PRIHODA)</v>
      </c>
      <c r="I48" s="299">
        <v>80000</v>
      </c>
      <c r="J48" s="299">
        <v>50000</v>
      </c>
      <c r="K48" s="299">
        <v>50000</v>
      </c>
      <c r="M48" s="141" t="str">
        <f t="shared" si="6"/>
        <v>329</v>
      </c>
      <c r="N48" s="141" t="str">
        <f t="shared" si="7"/>
        <v>32</v>
      </c>
      <c r="R48" s="141">
        <v>3511</v>
      </c>
      <c r="S48" s="141" t="s">
        <v>186</v>
      </c>
      <c r="U48" s="141" t="str">
        <f t="shared" si="10"/>
        <v>35</v>
      </c>
      <c r="V48" s="141" t="str">
        <f t="shared" si="11"/>
        <v>351</v>
      </c>
      <c r="X48" t="s">
        <v>75</v>
      </c>
      <c r="Y48" t="s">
        <v>76</v>
      </c>
    </row>
    <row r="49" spans="1:25">
      <c r="A49" s="145" t="str">
        <f>IF(C49="","",VLOOKUP('Opći dio'!$C$3,'Opći dio'!$L$6:$U$136,10,FALSE))</f>
        <v>08006</v>
      </c>
      <c r="B49" s="145" t="str">
        <f>IF(C49="","",VLOOKUP('Opći dio'!$C$3,'Opći dio'!$L$6:$U$136,9,FALSE))</f>
        <v>Sveučilišta i veleučilišta u Republici Hrvatskoj</v>
      </c>
      <c r="C49" s="296">
        <v>43</v>
      </c>
      <c r="D49" s="146" t="str">
        <f t="shared" si="3"/>
        <v>Ostali prihodi za posebne namjene</v>
      </c>
      <c r="E49" s="297">
        <v>3299</v>
      </c>
      <c r="F49" s="146" t="str">
        <f t="shared" si="4"/>
        <v>Ostali nespomenuti rashodi poslovanja</v>
      </c>
      <c r="G49" s="298" t="s">
        <v>152</v>
      </c>
      <c r="H49" s="146" t="str">
        <f t="shared" si="5"/>
        <v>REDOVNA DJELATNOST SVEUČILIŠTA U ZAGREBU (IZ EVIDENCIJSKIH PRIHODA)</v>
      </c>
      <c r="I49" s="299">
        <v>50000</v>
      </c>
      <c r="J49" s="299">
        <v>50000</v>
      </c>
      <c r="K49" s="299">
        <v>50000</v>
      </c>
      <c r="M49" s="141" t="str">
        <f t="shared" si="6"/>
        <v>329</v>
      </c>
      <c r="N49" s="141" t="str">
        <f t="shared" si="7"/>
        <v>32</v>
      </c>
      <c r="R49" s="141">
        <v>3512</v>
      </c>
      <c r="S49" s="141" t="s">
        <v>188</v>
      </c>
      <c r="U49" s="141" t="str">
        <f t="shared" si="10"/>
        <v>35</v>
      </c>
      <c r="V49" s="141" t="str">
        <f t="shared" si="11"/>
        <v>351</v>
      </c>
      <c r="X49" t="s">
        <v>77</v>
      </c>
      <c r="Y49" t="s">
        <v>78</v>
      </c>
    </row>
    <row r="50" spans="1:25">
      <c r="A50" s="145" t="str">
        <f>IF(C50="","",VLOOKUP('Opći dio'!$C$3,'Opći dio'!$L$6:$U$136,10,FALSE))</f>
        <v>08006</v>
      </c>
      <c r="B50" s="145" t="str">
        <f>IF(C50="","",VLOOKUP('Opći dio'!$C$3,'Opći dio'!$L$6:$U$136,9,FALSE))</f>
        <v>Sveučilišta i veleučilišta u Republici Hrvatskoj</v>
      </c>
      <c r="C50" s="296">
        <v>43</v>
      </c>
      <c r="D50" s="146" t="str">
        <f t="shared" si="3"/>
        <v>Ostali prihodi za posebne namjene</v>
      </c>
      <c r="E50" s="297">
        <v>3431</v>
      </c>
      <c r="F50" s="146" t="str">
        <f t="shared" si="4"/>
        <v>Bankarske usluge i usluge platnog prometa</v>
      </c>
      <c r="G50" s="298" t="s">
        <v>152</v>
      </c>
      <c r="H50" s="146" t="str">
        <f t="shared" si="5"/>
        <v>REDOVNA DJELATNOST SVEUČILIŠTA U ZAGREBU (IZ EVIDENCIJSKIH PRIHODA)</v>
      </c>
      <c r="I50" s="299">
        <v>80000</v>
      </c>
      <c r="J50" s="299">
        <v>60000</v>
      </c>
      <c r="K50" s="299">
        <v>60000</v>
      </c>
      <c r="M50" s="141" t="str">
        <f t="shared" si="6"/>
        <v>343</v>
      </c>
      <c r="N50" s="141" t="str">
        <f t="shared" si="7"/>
        <v>34</v>
      </c>
      <c r="R50" s="141">
        <v>3522</v>
      </c>
      <c r="S50" s="141" t="s">
        <v>265</v>
      </c>
      <c r="U50" s="141" t="str">
        <f t="shared" si="10"/>
        <v>35</v>
      </c>
      <c r="V50" s="141" t="str">
        <f t="shared" si="11"/>
        <v>352</v>
      </c>
      <c r="X50" t="s">
        <v>79</v>
      </c>
      <c r="Y50" t="s">
        <v>80</v>
      </c>
    </row>
    <row r="51" spans="1:25">
      <c r="A51" s="145" t="str">
        <f>IF(C51="","",VLOOKUP('Opći dio'!$C$3,'Opći dio'!$L$6:$U$136,10,FALSE))</f>
        <v>08006</v>
      </c>
      <c r="B51" s="145" t="str">
        <f>IF(C51="","",VLOOKUP('Opći dio'!$C$3,'Opći dio'!$L$6:$U$136,9,FALSE))</f>
        <v>Sveučilišta i veleučilišta u Republici Hrvatskoj</v>
      </c>
      <c r="C51" s="296">
        <v>43</v>
      </c>
      <c r="D51" s="146" t="str">
        <f t="shared" si="3"/>
        <v>Ostali prihodi za posebne namjene</v>
      </c>
      <c r="E51" s="297">
        <v>4221</v>
      </c>
      <c r="F51" s="146" t="str">
        <f t="shared" si="4"/>
        <v>Uredska oprema i namještaj</v>
      </c>
      <c r="G51" s="298" t="s">
        <v>152</v>
      </c>
      <c r="H51" s="146" t="str">
        <f t="shared" si="5"/>
        <v>REDOVNA DJELATNOST SVEUČILIŠTA U ZAGREBU (IZ EVIDENCIJSKIH PRIHODA)</v>
      </c>
      <c r="I51" s="299">
        <v>450000</v>
      </c>
      <c r="J51" s="299">
        <v>200000</v>
      </c>
      <c r="K51" s="299">
        <v>200000</v>
      </c>
      <c r="M51" s="141" t="str">
        <f t="shared" si="6"/>
        <v>422</v>
      </c>
      <c r="N51" s="141" t="str">
        <f t="shared" si="7"/>
        <v>42</v>
      </c>
      <c r="R51" s="141">
        <v>3531</v>
      </c>
      <c r="S51" s="141" t="s">
        <v>140</v>
      </c>
      <c r="U51" s="141" t="str">
        <f t="shared" si="10"/>
        <v>35</v>
      </c>
      <c r="V51" s="141" t="str">
        <f t="shared" si="11"/>
        <v>353</v>
      </c>
      <c r="X51" t="s">
        <v>82</v>
      </c>
      <c r="Y51" t="s">
        <v>83</v>
      </c>
    </row>
    <row r="52" spans="1:25">
      <c r="A52" s="145" t="str">
        <f>IF(C52="","",VLOOKUP('Opći dio'!$C$3,'Opći dio'!$L$6:$U$136,10,FALSE))</f>
        <v>08006</v>
      </c>
      <c r="B52" s="145" t="str">
        <f>IF(C52="","",VLOOKUP('Opći dio'!$C$3,'Opći dio'!$L$6:$U$136,9,FALSE))</f>
        <v>Sveučilišta i veleučilišta u Republici Hrvatskoj</v>
      </c>
      <c r="C52" s="296">
        <v>43</v>
      </c>
      <c r="D52" s="146" t="str">
        <f t="shared" si="3"/>
        <v>Ostali prihodi za posebne namjene</v>
      </c>
      <c r="E52" s="297">
        <v>4225</v>
      </c>
      <c r="F52" s="146" t="str">
        <f t="shared" si="4"/>
        <v>Instrumenti, uređaji i strojevi</v>
      </c>
      <c r="G52" s="298" t="s">
        <v>152</v>
      </c>
      <c r="H52" s="146" t="str">
        <f t="shared" si="5"/>
        <v>REDOVNA DJELATNOST SVEUČILIŠTA U ZAGREBU (IZ EVIDENCIJSKIH PRIHODA)</v>
      </c>
      <c r="I52" s="299">
        <v>200000</v>
      </c>
      <c r="J52" s="299">
        <v>100000</v>
      </c>
      <c r="K52" s="299">
        <v>100000</v>
      </c>
      <c r="M52" s="141" t="str">
        <f t="shared" si="6"/>
        <v>422</v>
      </c>
      <c r="N52" s="141" t="str">
        <f t="shared" si="7"/>
        <v>42</v>
      </c>
      <c r="R52" s="141">
        <v>3611</v>
      </c>
      <c r="S52" s="141" t="s">
        <v>94</v>
      </c>
      <c r="U52" s="141" t="str">
        <f t="shared" si="10"/>
        <v>36</v>
      </c>
      <c r="V52" s="141" t="str">
        <f t="shared" si="11"/>
        <v>361</v>
      </c>
      <c r="X52" t="s">
        <v>807</v>
      </c>
      <c r="Y52" t="s">
        <v>808</v>
      </c>
    </row>
    <row r="53" spans="1:25">
      <c r="A53" s="145" t="str">
        <f>IF(C53="","",VLOOKUP('Opći dio'!$C$3,'Opći dio'!$L$6:$U$136,10,FALSE))</f>
        <v>08006</v>
      </c>
      <c r="B53" s="145" t="str">
        <f>IF(C53="","",VLOOKUP('Opći dio'!$C$3,'Opći dio'!$L$6:$U$136,9,FALSE))</f>
        <v>Sveučilišta i veleučilišta u Republici Hrvatskoj</v>
      </c>
      <c r="C53" s="296">
        <v>43</v>
      </c>
      <c r="D53" s="146" t="str">
        <f t="shared" si="3"/>
        <v>Ostali prihodi za posebne namjene</v>
      </c>
      <c r="E53" s="297">
        <v>4241</v>
      </c>
      <c r="F53" s="146" t="str">
        <f t="shared" si="4"/>
        <v>Knjige</v>
      </c>
      <c r="G53" s="298" t="s">
        <v>152</v>
      </c>
      <c r="H53" s="146" t="str">
        <f t="shared" si="5"/>
        <v>REDOVNA DJELATNOST SVEUČILIŠTA U ZAGREBU (IZ EVIDENCIJSKIH PRIHODA)</v>
      </c>
      <c r="I53" s="299">
        <v>450000</v>
      </c>
      <c r="J53" s="299">
        <v>350000</v>
      </c>
      <c r="K53" s="299">
        <v>350000</v>
      </c>
      <c r="M53" s="141" t="str">
        <f t="shared" si="6"/>
        <v>424</v>
      </c>
      <c r="N53" s="141" t="str">
        <f t="shared" si="7"/>
        <v>42</v>
      </c>
      <c r="R53" s="141">
        <v>3621</v>
      </c>
      <c r="S53" s="141" t="s">
        <v>144</v>
      </c>
      <c r="U53" s="141" t="str">
        <f t="shared" si="10"/>
        <v>36</v>
      </c>
      <c r="V53" s="141" t="str">
        <f t="shared" si="11"/>
        <v>362</v>
      </c>
      <c r="X53" t="s">
        <v>1197</v>
      </c>
      <c r="Y53" t="s">
        <v>1198</v>
      </c>
    </row>
    <row r="54" spans="1:25">
      <c r="A54" s="145" t="str">
        <f>IF(C54="","",VLOOKUP('Opći dio'!$C$3,'Opći dio'!$L$6:$U$136,10,FALSE))</f>
        <v>08006</v>
      </c>
      <c r="B54" s="145" t="str">
        <f>IF(C54="","",VLOOKUP('Opći dio'!$C$3,'Opći dio'!$L$6:$U$136,9,FALSE))</f>
        <v>Sveučilišta i veleučilišta u Republici Hrvatskoj</v>
      </c>
      <c r="C54" s="296">
        <v>43</v>
      </c>
      <c r="D54" s="146" t="str">
        <f t="shared" si="3"/>
        <v>Ostali prihodi za posebne namjene</v>
      </c>
      <c r="E54" s="297">
        <v>4262</v>
      </c>
      <c r="F54" s="146" t="str">
        <f t="shared" si="4"/>
        <v>Ulaganja u računalne programe</v>
      </c>
      <c r="G54" s="298" t="s">
        <v>152</v>
      </c>
      <c r="H54" s="146" t="str">
        <f t="shared" si="5"/>
        <v>REDOVNA DJELATNOST SVEUČILIŠTA U ZAGREBU (IZ EVIDENCIJSKIH PRIHODA)</v>
      </c>
      <c r="I54" s="299">
        <v>20000</v>
      </c>
      <c r="J54" s="299">
        <v>20000</v>
      </c>
      <c r="K54" s="299">
        <v>20000</v>
      </c>
      <c r="M54" s="141" t="str">
        <f t="shared" si="6"/>
        <v>426</v>
      </c>
      <c r="N54" s="141" t="str">
        <f t="shared" si="7"/>
        <v>42</v>
      </c>
      <c r="R54" s="141">
        <v>3631</v>
      </c>
      <c r="S54" s="141" t="s">
        <v>185</v>
      </c>
      <c r="U54" s="141" t="str">
        <f t="shared" si="10"/>
        <v>36</v>
      </c>
      <c r="V54" s="141" t="str">
        <f t="shared" si="11"/>
        <v>363</v>
      </c>
      <c r="X54" t="s">
        <v>809</v>
      </c>
      <c r="Y54" t="s">
        <v>810</v>
      </c>
    </row>
    <row r="55" spans="1:25">
      <c r="A55" s="145" t="str">
        <f>IF(C55="","",VLOOKUP('Opći dio'!$C$3,'Opći dio'!$L$6:$U$136,10,FALSE))</f>
        <v>08006</v>
      </c>
      <c r="B55" s="145" t="str">
        <f>IF(C55="","",VLOOKUP('Opći dio'!$C$3,'Opći dio'!$L$6:$U$136,9,FALSE))</f>
        <v>Sveučilišta i veleučilišta u Republici Hrvatskoj</v>
      </c>
      <c r="C55" s="296">
        <v>51</v>
      </c>
      <c r="D55" s="146" t="str">
        <f t="shared" si="3"/>
        <v>Pomoći EU</v>
      </c>
      <c r="E55" s="297">
        <v>3211</v>
      </c>
      <c r="F55" s="146" t="str">
        <f t="shared" si="4"/>
        <v>Službena putovanja</v>
      </c>
      <c r="G55" s="298" t="s">
        <v>145</v>
      </c>
      <c r="H55" s="146" t="str">
        <f t="shared" si="5"/>
        <v/>
      </c>
      <c r="I55" s="299"/>
      <c r="J55" s="299"/>
      <c r="K55" s="299"/>
      <c r="M55" s="141" t="str">
        <f t="shared" si="6"/>
        <v>321</v>
      </c>
      <c r="N55" s="141" t="str">
        <f t="shared" si="7"/>
        <v>32</v>
      </c>
      <c r="R55" s="141">
        <v>3632</v>
      </c>
      <c r="S55" s="141" t="s">
        <v>266</v>
      </c>
      <c r="U55" s="141" t="str">
        <f t="shared" si="10"/>
        <v>36</v>
      </c>
      <c r="V55" s="141" t="str">
        <f t="shared" si="11"/>
        <v>363</v>
      </c>
      <c r="X55" t="s">
        <v>801</v>
      </c>
      <c r="Y55" t="s">
        <v>802</v>
      </c>
    </row>
    <row r="56" spans="1:25">
      <c r="A56" s="145" t="str">
        <f>IF(C56="","",VLOOKUP('Opći dio'!$C$3,'Opći dio'!$L$6:$U$136,10,FALSE))</f>
        <v>08006</v>
      </c>
      <c r="B56" s="145" t="str">
        <f>IF(C56="","",VLOOKUP('Opći dio'!$C$3,'Opći dio'!$L$6:$U$136,9,FALSE))</f>
        <v>Sveučilišta i veleučilišta u Republici Hrvatskoj</v>
      </c>
      <c r="C56" s="296">
        <v>51</v>
      </c>
      <c r="D56" s="146" t="str">
        <f t="shared" si="3"/>
        <v>Pomoći EU</v>
      </c>
      <c r="E56" s="297">
        <v>3111</v>
      </c>
      <c r="F56" s="146" t="str">
        <f t="shared" si="4"/>
        <v>Plaće za redovan rad</v>
      </c>
      <c r="G56" s="298" t="s">
        <v>145</v>
      </c>
      <c r="H56" s="146" t="str">
        <f t="shared" si="5"/>
        <v/>
      </c>
      <c r="I56" s="299"/>
      <c r="J56" s="299"/>
      <c r="K56" s="299"/>
      <c r="M56" s="141" t="str">
        <f t="shared" si="6"/>
        <v>311</v>
      </c>
      <c r="N56" s="141" t="str">
        <f t="shared" si="7"/>
        <v>31</v>
      </c>
      <c r="R56" s="141">
        <v>3661</v>
      </c>
      <c r="S56" s="141" t="s">
        <v>106</v>
      </c>
      <c r="U56" s="141" t="str">
        <f t="shared" si="10"/>
        <v>36</v>
      </c>
      <c r="V56" s="141" t="str">
        <f t="shared" si="11"/>
        <v>366</v>
      </c>
      <c r="X56" t="s">
        <v>2070</v>
      </c>
      <c r="Y56" t="s">
        <v>2071</v>
      </c>
    </row>
    <row r="57" spans="1:25">
      <c r="A57" s="145" t="str">
        <f>IF(C57="","",VLOOKUP('Opći dio'!$C$3,'Opći dio'!$L$6:$U$136,10,FALSE))</f>
        <v>08006</v>
      </c>
      <c r="B57" s="145" t="str">
        <f>IF(C57="","",VLOOKUP('Opći dio'!$C$3,'Opći dio'!$L$6:$U$136,9,FALSE))</f>
        <v>Sveučilišta i veleučilišta u Republici Hrvatskoj</v>
      </c>
      <c r="C57" s="296">
        <v>51</v>
      </c>
      <c r="D57" s="146" t="str">
        <f t="shared" si="3"/>
        <v>Pomoći EU</v>
      </c>
      <c r="E57" s="297">
        <v>3132</v>
      </c>
      <c r="F57" s="146" t="str">
        <f t="shared" si="4"/>
        <v>Doprinosi za obvezno zdravstveno osiguranje</v>
      </c>
      <c r="G57" s="298" t="s">
        <v>145</v>
      </c>
      <c r="H57" s="146" t="str">
        <f t="shared" si="5"/>
        <v/>
      </c>
      <c r="I57" s="299"/>
      <c r="J57" s="299"/>
      <c r="K57" s="299"/>
      <c r="M57" s="141" t="str">
        <f t="shared" si="6"/>
        <v>313</v>
      </c>
      <c r="N57" s="141" t="str">
        <f t="shared" si="7"/>
        <v>31</v>
      </c>
      <c r="R57" s="141">
        <v>3662</v>
      </c>
      <c r="S57" s="141" t="s">
        <v>189</v>
      </c>
      <c r="U57" s="141" t="str">
        <f t="shared" si="10"/>
        <v>36</v>
      </c>
      <c r="V57" s="141" t="str">
        <f t="shared" si="11"/>
        <v>366</v>
      </c>
      <c r="X57" t="s">
        <v>149</v>
      </c>
      <c r="Y57" t="s">
        <v>150</v>
      </c>
    </row>
    <row r="58" spans="1:25">
      <c r="A58" s="145" t="str">
        <f>IF(C58="","",VLOOKUP('Opći dio'!$C$3,'Opći dio'!$L$6:$U$136,10,FALSE))</f>
        <v>08006</v>
      </c>
      <c r="B58" s="145" t="str">
        <f>IF(C58="","",VLOOKUP('Opći dio'!$C$3,'Opći dio'!$L$6:$U$136,9,FALSE))</f>
        <v>Sveučilišta i veleučilišta u Republici Hrvatskoj</v>
      </c>
      <c r="C58" s="296">
        <v>51</v>
      </c>
      <c r="D58" s="146" t="str">
        <f t="shared" si="3"/>
        <v>Pomoći EU</v>
      </c>
      <c r="E58" s="297">
        <v>3237</v>
      </c>
      <c r="F58" s="146" t="str">
        <f t="shared" si="4"/>
        <v>Intelektualne i osobne usluge</v>
      </c>
      <c r="G58" s="298" t="s">
        <v>145</v>
      </c>
      <c r="H58" s="146" t="str">
        <f t="shared" si="5"/>
        <v/>
      </c>
      <c r="I58" s="299"/>
      <c r="J58" s="299"/>
      <c r="K58" s="299"/>
      <c r="M58" s="141" t="str">
        <f t="shared" si="6"/>
        <v>323</v>
      </c>
      <c r="N58" s="141" t="str">
        <f t="shared" si="7"/>
        <v>32</v>
      </c>
      <c r="R58" s="141">
        <v>3681</v>
      </c>
      <c r="S58" s="141" t="s">
        <v>29</v>
      </c>
      <c r="U58" s="141" t="str">
        <f t="shared" si="10"/>
        <v>36</v>
      </c>
      <c r="V58" s="141" t="str">
        <f t="shared" si="11"/>
        <v>368</v>
      </c>
      <c r="X58" t="s">
        <v>152</v>
      </c>
      <c r="Y58" t="s">
        <v>1570</v>
      </c>
    </row>
    <row r="59" spans="1:25">
      <c r="A59" s="145" t="str">
        <f>IF(C59="","",VLOOKUP('Opći dio'!$C$3,'Opći dio'!$L$6:$U$136,10,FALSE))</f>
        <v>08006</v>
      </c>
      <c r="B59" s="145" t="str">
        <f>IF(C59="","",VLOOKUP('Opći dio'!$C$3,'Opći dio'!$L$6:$U$136,9,FALSE))</f>
        <v>Sveučilišta i veleučilišta u Republici Hrvatskoj</v>
      </c>
      <c r="C59" s="296">
        <v>51</v>
      </c>
      <c r="D59" s="146" t="str">
        <f t="shared" si="3"/>
        <v>Pomoći EU</v>
      </c>
      <c r="E59" s="297">
        <v>4241</v>
      </c>
      <c r="F59" s="146" t="str">
        <f t="shared" si="4"/>
        <v>Knjige</v>
      </c>
      <c r="G59" s="298" t="s">
        <v>145</v>
      </c>
      <c r="H59" s="146" t="str">
        <f t="shared" si="5"/>
        <v/>
      </c>
      <c r="I59" s="299"/>
      <c r="J59" s="299"/>
      <c r="K59" s="299"/>
      <c r="M59" s="141" t="str">
        <f t="shared" si="6"/>
        <v>424</v>
      </c>
      <c r="N59" s="141" t="str">
        <f t="shared" si="7"/>
        <v>42</v>
      </c>
      <c r="R59" s="141">
        <v>3682</v>
      </c>
      <c r="S59" s="141" t="s">
        <v>30</v>
      </c>
      <c r="U59" s="141" t="str">
        <f t="shared" si="10"/>
        <v>36</v>
      </c>
      <c r="V59" s="141" t="str">
        <f t="shared" si="11"/>
        <v>368</v>
      </c>
      <c r="X59" t="s">
        <v>181</v>
      </c>
      <c r="Y59" t="s">
        <v>1571</v>
      </c>
    </row>
    <row r="60" spans="1:25">
      <c r="A60" s="145" t="str">
        <f>IF(C60="","",VLOOKUP('Opći dio'!$C$3,'Opći dio'!$L$6:$U$136,10,FALSE))</f>
        <v>08006</v>
      </c>
      <c r="B60" s="145" t="str">
        <f>IF(C60="","",VLOOKUP('Opći dio'!$C$3,'Opći dio'!$L$6:$U$136,9,FALSE))</f>
        <v>Sveučilišta i veleučilišta u Republici Hrvatskoj</v>
      </c>
      <c r="C60" s="296">
        <v>51</v>
      </c>
      <c r="D60" s="146" t="str">
        <f t="shared" si="3"/>
        <v>Pomoći EU</v>
      </c>
      <c r="E60" s="297">
        <v>4221</v>
      </c>
      <c r="F60" s="146" t="str">
        <f t="shared" si="4"/>
        <v>Uredska oprema i namještaj</v>
      </c>
      <c r="G60" s="298" t="s">
        <v>145</v>
      </c>
      <c r="H60" s="146" t="str">
        <f t="shared" si="5"/>
        <v/>
      </c>
      <c r="I60" s="299"/>
      <c r="J60" s="299"/>
      <c r="K60" s="299"/>
      <c r="M60" s="141" t="str">
        <f t="shared" si="6"/>
        <v>422</v>
      </c>
      <c r="N60" s="141" t="str">
        <f t="shared" si="7"/>
        <v>42</v>
      </c>
      <c r="R60" s="141">
        <v>3691</v>
      </c>
      <c r="S60" s="141" t="s">
        <v>111</v>
      </c>
      <c r="U60" s="141" t="str">
        <f t="shared" si="10"/>
        <v>36</v>
      </c>
      <c r="V60" s="141" t="str">
        <f t="shared" si="11"/>
        <v>369</v>
      </c>
      <c r="X60" t="s">
        <v>184</v>
      </c>
      <c r="Y60" t="s">
        <v>1572</v>
      </c>
    </row>
    <row r="61" spans="1:25">
      <c r="A61" s="145" t="str">
        <f>IF(C61="","",VLOOKUP('Opći dio'!$C$3,'Opći dio'!$L$6:$U$136,10,FALSE))</f>
        <v>08006</v>
      </c>
      <c r="B61" s="145" t="str">
        <f>IF(C61="","",VLOOKUP('Opći dio'!$C$3,'Opći dio'!$L$6:$U$136,9,FALSE))</f>
        <v>Sveučilišta i veleučilišta u Republici Hrvatskoj</v>
      </c>
      <c r="C61" s="305">
        <v>52</v>
      </c>
      <c r="D61" s="146" t="str">
        <f t="shared" si="3"/>
        <v>Ostale pomoći</v>
      </c>
      <c r="E61" s="305">
        <v>4241</v>
      </c>
      <c r="F61" s="146" t="str">
        <f t="shared" si="4"/>
        <v>Knjige</v>
      </c>
      <c r="G61" s="307" t="s">
        <v>152</v>
      </c>
      <c r="H61" s="146" t="str">
        <f t="shared" si="5"/>
        <v>REDOVNA DJELATNOST SVEUČILIŠTA U ZAGREBU (IZ EVIDENCIJSKIH PRIHODA)</v>
      </c>
      <c r="I61" s="306">
        <v>100000</v>
      </c>
      <c r="J61" s="306">
        <v>100000</v>
      </c>
      <c r="K61" s="306">
        <v>100000</v>
      </c>
      <c r="M61" s="141" t="str">
        <f t="shared" si="6"/>
        <v>424</v>
      </c>
      <c r="N61" s="141" t="str">
        <f t="shared" si="7"/>
        <v>42</v>
      </c>
      <c r="R61" s="141">
        <v>3692</v>
      </c>
      <c r="S61" s="141" t="s">
        <v>183</v>
      </c>
      <c r="U61" s="141" t="str">
        <f t="shared" si="10"/>
        <v>36</v>
      </c>
      <c r="V61" s="141" t="str">
        <f t="shared" si="11"/>
        <v>369</v>
      </c>
      <c r="X61" t="s">
        <v>187</v>
      </c>
      <c r="Y61" t="s">
        <v>1573</v>
      </c>
    </row>
    <row r="62" spans="1:25">
      <c r="A62" s="145" t="str">
        <f>IF(C62="","",VLOOKUP('Opći dio'!$C$3,'Opći dio'!$L$6:$U$136,10,FALSE))</f>
        <v>08006</v>
      </c>
      <c r="B62" s="145" t="str">
        <f>IF(C62="","",VLOOKUP('Opći dio'!$C$3,'Opći dio'!$L$6:$U$136,9,FALSE))</f>
        <v>Sveučilišta i veleučilišta u Republici Hrvatskoj</v>
      </c>
      <c r="C62" s="305">
        <v>61</v>
      </c>
      <c r="D62" s="146" t="str">
        <f t="shared" si="3"/>
        <v>Donacije</v>
      </c>
      <c r="E62" s="305">
        <v>3111</v>
      </c>
      <c r="F62" s="146" t="str">
        <f t="shared" si="4"/>
        <v>Plaće za redovan rad</v>
      </c>
      <c r="G62" s="307" t="s">
        <v>152</v>
      </c>
      <c r="H62" s="146" t="str">
        <f t="shared" si="5"/>
        <v>REDOVNA DJELATNOST SVEUČILIŠTA U ZAGREBU (IZ EVIDENCIJSKIH PRIHODA)</v>
      </c>
      <c r="I62" s="306">
        <v>200000</v>
      </c>
      <c r="J62" s="306">
        <v>100000</v>
      </c>
      <c r="K62" s="306"/>
      <c r="M62" s="141" t="str">
        <f t="shared" si="6"/>
        <v>311</v>
      </c>
      <c r="N62" s="141" t="str">
        <f t="shared" si="7"/>
        <v>31</v>
      </c>
      <c r="R62" s="141">
        <v>3693</v>
      </c>
      <c r="S62" s="141" t="s">
        <v>111</v>
      </c>
      <c r="U62" s="141" t="str">
        <f t="shared" si="10"/>
        <v>36</v>
      </c>
      <c r="V62" s="141" t="str">
        <f t="shared" si="11"/>
        <v>369</v>
      </c>
      <c r="X62" t="s">
        <v>191</v>
      </c>
      <c r="Y62" t="s">
        <v>1574</v>
      </c>
    </row>
    <row r="63" spans="1:25">
      <c r="A63" s="145" t="str">
        <f>IF(C63="","",VLOOKUP('Opći dio'!$C$3,'Opći dio'!$L$6:$U$136,10,FALSE))</f>
        <v>08006</v>
      </c>
      <c r="B63" s="145" t="str">
        <f>IF(C63="","",VLOOKUP('Opći dio'!$C$3,'Opći dio'!$L$6:$U$136,9,FALSE))</f>
        <v>Sveučilišta i veleučilišta u Republici Hrvatskoj</v>
      </c>
      <c r="C63" s="305">
        <v>61</v>
      </c>
      <c r="D63" s="146" t="str">
        <f t="shared" si="3"/>
        <v>Donacije</v>
      </c>
      <c r="E63" s="305">
        <v>3132</v>
      </c>
      <c r="F63" s="146" t="str">
        <f t="shared" si="4"/>
        <v>Doprinosi za obvezno zdravstveno osiguranje</v>
      </c>
      <c r="G63" s="307" t="s">
        <v>152</v>
      </c>
      <c r="H63" s="146" t="str">
        <f t="shared" si="5"/>
        <v>REDOVNA DJELATNOST SVEUČILIŠTA U ZAGREBU (IZ EVIDENCIJSKIH PRIHODA)</v>
      </c>
      <c r="I63" s="306">
        <v>30000</v>
      </c>
      <c r="J63" s="306">
        <v>15000</v>
      </c>
      <c r="K63" s="306"/>
      <c r="M63" s="141" t="str">
        <f t="shared" si="6"/>
        <v>313</v>
      </c>
      <c r="N63" s="141" t="str">
        <f t="shared" si="7"/>
        <v>31</v>
      </c>
      <c r="R63" s="141">
        <v>3694</v>
      </c>
      <c r="S63" s="141" t="s">
        <v>183</v>
      </c>
      <c r="U63" s="141" t="str">
        <f t="shared" si="10"/>
        <v>36</v>
      </c>
      <c r="V63" s="141" t="str">
        <f t="shared" si="11"/>
        <v>369</v>
      </c>
      <c r="X63" t="s">
        <v>192</v>
      </c>
      <c r="Y63" t="s">
        <v>1575</v>
      </c>
    </row>
    <row r="64" spans="1:25">
      <c r="A64" s="145" t="str">
        <f>IF(C64="","",VLOOKUP('Opći dio'!$C$3,'Opći dio'!$L$6:$U$136,10,FALSE))</f>
        <v/>
      </c>
      <c r="B64" s="145" t="str">
        <f>IF(C64="","",VLOOKUP('Opći dio'!$C$3,'Opći dio'!$L$6:$U$136,9,FALSE))</f>
        <v/>
      </c>
      <c r="C64" s="296"/>
      <c r="D64" s="146" t="str">
        <f t="shared" si="3"/>
        <v/>
      </c>
      <c r="E64" s="297"/>
      <c r="F64" s="146" t="str">
        <f t="shared" si="4"/>
        <v/>
      </c>
      <c r="G64" s="298"/>
      <c r="H64" s="146" t="str">
        <f t="shared" si="5"/>
        <v/>
      </c>
      <c r="I64" s="299"/>
      <c r="J64" s="299"/>
      <c r="K64" s="299"/>
      <c r="M64" s="141" t="str">
        <f t="shared" si="6"/>
        <v/>
      </c>
      <c r="N64" s="141" t="str">
        <f t="shared" si="7"/>
        <v/>
      </c>
      <c r="R64" s="141">
        <v>3711</v>
      </c>
      <c r="S64" s="141" t="s">
        <v>130</v>
      </c>
      <c r="U64" s="141" t="str">
        <f t="shared" si="10"/>
        <v>37</v>
      </c>
      <c r="V64" s="141" t="str">
        <f t="shared" si="11"/>
        <v>371</v>
      </c>
      <c r="X64" t="s">
        <v>194</v>
      </c>
      <c r="Y64" t="s">
        <v>1576</v>
      </c>
    </row>
    <row r="65" spans="1:25">
      <c r="A65" s="145" t="str">
        <f>IF(C65="","",VLOOKUP('Opći dio'!$C$3,'Opći dio'!$L$6:$U$136,10,FALSE))</f>
        <v/>
      </c>
      <c r="B65" s="145" t="str">
        <f>IF(C65="","",VLOOKUP('Opći dio'!$C$3,'Opći dio'!$L$6:$U$136,9,FALSE))</f>
        <v/>
      </c>
      <c r="C65" s="296"/>
      <c r="D65" s="146" t="str">
        <f t="shared" si="3"/>
        <v/>
      </c>
      <c r="E65" s="297"/>
      <c r="F65" s="146" t="str">
        <f t="shared" si="4"/>
        <v/>
      </c>
      <c r="G65" s="298"/>
      <c r="H65" s="146" t="str">
        <f t="shared" si="5"/>
        <v/>
      </c>
      <c r="I65" s="299"/>
      <c r="J65" s="299"/>
      <c r="K65" s="299"/>
      <c r="M65" s="141" t="str">
        <f t="shared" si="6"/>
        <v/>
      </c>
      <c r="N65" s="141" t="str">
        <f t="shared" si="7"/>
        <v/>
      </c>
      <c r="R65" s="141">
        <v>3712</v>
      </c>
      <c r="S65" s="141" t="s">
        <v>148</v>
      </c>
      <c r="U65" s="141" t="str">
        <f t="shared" si="10"/>
        <v>37</v>
      </c>
      <c r="V65" s="141" t="str">
        <f t="shared" si="11"/>
        <v>371</v>
      </c>
      <c r="X65" t="s">
        <v>200</v>
      </c>
      <c r="Y65" t="s">
        <v>1577</v>
      </c>
    </row>
    <row r="66" spans="1:25">
      <c r="A66" s="145" t="str">
        <f>IF(C66="","",VLOOKUP('Opći dio'!$C$3,'Opći dio'!$L$6:$U$136,10,FALSE))</f>
        <v/>
      </c>
      <c r="B66" s="145" t="str">
        <f>IF(C66="","",VLOOKUP('Opći dio'!$C$3,'Opći dio'!$L$6:$U$136,9,FALSE))</f>
        <v/>
      </c>
      <c r="C66" s="296"/>
      <c r="D66" s="146" t="str">
        <f t="shared" si="3"/>
        <v/>
      </c>
      <c r="E66" s="297"/>
      <c r="F66" s="146" t="str">
        <f t="shared" si="4"/>
        <v/>
      </c>
      <c r="G66" s="298"/>
      <c r="H66" s="146" t="str">
        <f t="shared" si="5"/>
        <v/>
      </c>
      <c r="I66" s="299"/>
      <c r="J66" s="299"/>
      <c r="K66" s="299"/>
      <c r="M66" s="141" t="str">
        <f t="shared" si="6"/>
        <v/>
      </c>
      <c r="N66" s="141" t="str">
        <f t="shared" si="7"/>
        <v/>
      </c>
      <c r="R66" s="141">
        <v>3713</v>
      </c>
      <c r="S66" s="141" t="s">
        <v>175</v>
      </c>
      <c r="U66" s="141" t="str">
        <f t="shared" si="10"/>
        <v>37</v>
      </c>
      <c r="V66" s="141" t="str">
        <f t="shared" si="11"/>
        <v>371</v>
      </c>
      <c r="X66" t="s">
        <v>201</v>
      </c>
      <c r="Y66" t="s">
        <v>1578</v>
      </c>
    </row>
    <row r="67" spans="1:25">
      <c r="A67" s="145" t="str">
        <f>IF(C67="","",VLOOKUP('Opći dio'!$C$3,'Opći dio'!$L$6:$U$136,10,FALSE))</f>
        <v/>
      </c>
      <c r="B67" s="145" t="str">
        <f>IF(C67="","",VLOOKUP('Opći dio'!$C$3,'Opći dio'!$L$6:$U$136,9,FALSE))</f>
        <v/>
      </c>
      <c r="C67" s="151"/>
      <c r="D67" s="146" t="str">
        <f t="shared" si="3"/>
        <v/>
      </c>
      <c r="E67" s="151"/>
      <c r="F67" s="146" t="str">
        <f t="shared" si="4"/>
        <v/>
      </c>
      <c r="G67" s="186"/>
      <c r="H67" s="146" t="str">
        <f t="shared" si="5"/>
        <v/>
      </c>
      <c r="I67" s="185"/>
      <c r="J67" s="185"/>
      <c r="K67" s="185"/>
      <c r="M67" s="141" t="str">
        <f t="shared" si="6"/>
        <v/>
      </c>
      <c r="N67" s="141" t="str">
        <f t="shared" si="7"/>
        <v/>
      </c>
      <c r="R67" s="141">
        <v>3714</v>
      </c>
      <c r="S67" s="141" t="s">
        <v>196</v>
      </c>
      <c r="U67" s="141" t="str">
        <f t="shared" si="10"/>
        <v>37</v>
      </c>
      <c r="V67" s="141" t="str">
        <f t="shared" si="11"/>
        <v>371</v>
      </c>
      <c r="X67" t="s">
        <v>799</v>
      </c>
      <c r="Y67" t="s">
        <v>800</v>
      </c>
    </row>
    <row r="68" spans="1:25">
      <c r="A68" s="145" t="str">
        <f>IF(C68="","",VLOOKUP('Opći dio'!$C$3,'Opći dio'!$L$6:$U$136,10,FALSE))</f>
        <v/>
      </c>
      <c r="B68" s="145" t="str">
        <f>IF(C68="","",VLOOKUP('Opći dio'!$C$3,'Opći dio'!$L$6:$U$136,9,FALSE))</f>
        <v/>
      </c>
      <c r="C68" s="151"/>
      <c r="D68" s="146" t="str">
        <f t="shared" ref="D68:D131" si="12">IFERROR(VLOOKUP(C68,$O$6:$P$23,2,FALSE),"")</f>
        <v/>
      </c>
      <c r="E68" s="151"/>
      <c r="F68" s="146" t="str">
        <f t="shared" ref="F68:F131" si="13">IFERROR(VLOOKUP(E68,$R$5:$T$129,2,FALSE),"")</f>
        <v/>
      </c>
      <c r="G68" s="186"/>
      <c r="H68" s="146" t="str">
        <f t="shared" ref="H68:H131" si="14">IFERROR(VLOOKUP(G68,$X$6:$Y$200,2,FALSE),"")</f>
        <v/>
      </c>
      <c r="I68" s="185"/>
      <c r="J68" s="185"/>
      <c r="K68" s="185"/>
      <c r="M68" s="141" t="str">
        <f t="shared" ref="M68:M131" si="15">LEFT(E68,3)</f>
        <v/>
      </c>
      <c r="N68" s="141" t="str">
        <f t="shared" ref="N68:N131" si="16">LEFT(E68,2)</f>
        <v/>
      </c>
      <c r="R68" s="141">
        <v>3715</v>
      </c>
      <c r="S68" s="141" t="s">
        <v>134</v>
      </c>
      <c r="U68" s="141" t="str">
        <f t="shared" si="10"/>
        <v>37</v>
      </c>
      <c r="V68" s="141" t="str">
        <f t="shared" si="11"/>
        <v>371</v>
      </c>
      <c r="X68" t="s">
        <v>2072</v>
      </c>
      <c r="Y68" t="s">
        <v>2073</v>
      </c>
    </row>
    <row r="69" spans="1:25">
      <c r="A69" s="145" t="str">
        <f>IF(C69="","",VLOOKUP('Opći dio'!$C$3,'Opći dio'!$L$6:$U$136,10,FALSE))</f>
        <v/>
      </c>
      <c r="B69" s="145" t="str">
        <f>IF(C69="","",VLOOKUP('Opći dio'!$C$3,'Opći dio'!$L$6:$U$136,9,FALSE))</f>
        <v/>
      </c>
      <c r="C69" s="151"/>
      <c r="D69" s="146" t="str">
        <f t="shared" si="12"/>
        <v/>
      </c>
      <c r="E69" s="151"/>
      <c r="F69" s="146" t="str">
        <f t="shared" si="13"/>
        <v/>
      </c>
      <c r="G69" s="186"/>
      <c r="H69" s="146" t="str">
        <f t="shared" si="14"/>
        <v/>
      </c>
      <c r="I69" s="185"/>
      <c r="J69" s="185"/>
      <c r="K69" s="185"/>
      <c r="M69" s="141" t="str">
        <f t="shared" si="15"/>
        <v/>
      </c>
      <c r="N69" s="141" t="str">
        <f t="shared" si="16"/>
        <v/>
      </c>
      <c r="R69" s="141">
        <v>3721</v>
      </c>
      <c r="S69" s="141" t="s">
        <v>72</v>
      </c>
      <c r="U69" s="141" t="str">
        <f t="shared" si="10"/>
        <v>37</v>
      </c>
      <c r="V69" s="141" t="str">
        <f t="shared" si="11"/>
        <v>372</v>
      </c>
      <c r="X69" t="s">
        <v>805</v>
      </c>
      <c r="Y69" t="s">
        <v>806</v>
      </c>
    </row>
    <row r="70" spans="1:25">
      <c r="A70" s="145" t="str">
        <f>IF(C70="","",VLOOKUP('Opći dio'!$C$3,'Opći dio'!$L$6:$U$136,10,FALSE))</f>
        <v/>
      </c>
      <c r="B70" s="145" t="str">
        <f>IF(C70="","",VLOOKUP('Opći dio'!$C$3,'Opći dio'!$L$6:$U$136,9,FALSE))</f>
        <v/>
      </c>
      <c r="C70" s="151"/>
      <c r="D70" s="146" t="str">
        <f t="shared" si="12"/>
        <v/>
      </c>
      <c r="E70" s="151"/>
      <c r="F70" s="146" t="str">
        <f t="shared" si="13"/>
        <v/>
      </c>
      <c r="G70" s="186"/>
      <c r="H70" s="146" t="str">
        <f t="shared" si="14"/>
        <v/>
      </c>
      <c r="I70" s="185"/>
      <c r="J70" s="185"/>
      <c r="K70" s="185"/>
      <c r="M70" s="141" t="str">
        <f t="shared" si="15"/>
        <v/>
      </c>
      <c r="N70" s="141" t="str">
        <f t="shared" si="16"/>
        <v/>
      </c>
      <c r="R70" s="141">
        <v>3722</v>
      </c>
      <c r="S70" s="141" t="s">
        <v>157</v>
      </c>
      <c r="U70" s="141" t="str">
        <f t="shared" si="10"/>
        <v>37</v>
      </c>
      <c r="V70" s="141" t="str">
        <f t="shared" si="11"/>
        <v>372</v>
      </c>
      <c r="X70" t="s">
        <v>816</v>
      </c>
      <c r="Y70" t="s">
        <v>817</v>
      </c>
    </row>
    <row r="71" spans="1:25">
      <c r="A71" s="145" t="str">
        <f>IF(C71="","",VLOOKUP('Opći dio'!$C$3,'Opći dio'!$L$6:$U$136,10,FALSE))</f>
        <v/>
      </c>
      <c r="B71" s="145" t="str">
        <f>IF(C71="","",VLOOKUP('Opći dio'!$C$3,'Opći dio'!$L$6:$U$136,9,FALSE))</f>
        <v/>
      </c>
      <c r="C71" s="151"/>
      <c r="D71" s="146" t="str">
        <f t="shared" si="12"/>
        <v/>
      </c>
      <c r="E71" s="151"/>
      <c r="F71" s="146" t="str">
        <f t="shared" si="13"/>
        <v/>
      </c>
      <c r="G71" s="186"/>
      <c r="H71" s="146" t="str">
        <f t="shared" si="14"/>
        <v/>
      </c>
      <c r="I71" s="185"/>
      <c r="J71" s="185"/>
      <c r="K71" s="185"/>
      <c r="M71" s="141" t="str">
        <f t="shared" si="15"/>
        <v/>
      </c>
      <c r="N71" s="141" t="str">
        <f t="shared" si="16"/>
        <v/>
      </c>
      <c r="R71" s="141">
        <v>3723</v>
      </c>
      <c r="S71" s="141" t="s">
        <v>112</v>
      </c>
      <c r="U71" s="141" t="str">
        <f t="shared" si="10"/>
        <v>37</v>
      </c>
      <c r="V71" s="141" t="str">
        <f t="shared" si="11"/>
        <v>372</v>
      </c>
      <c r="X71" t="s">
        <v>818</v>
      </c>
      <c r="Y71" t="s">
        <v>819</v>
      </c>
    </row>
    <row r="72" spans="1:25">
      <c r="A72" s="145" t="str">
        <f>IF(C72="","",VLOOKUP('Opći dio'!$C$3,'Opći dio'!$L$6:$U$136,10,FALSE))</f>
        <v/>
      </c>
      <c r="B72" s="145" t="str">
        <f>IF(C72="","",VLOOKUP('Opći dio'!$C$3,'Opći dio'!$L$6:$U$136,9,FALSE))</f>
        <v/>
      </c>
      <c r="C72" s="151"/>
      <c r="D72" s="146" t="str">
        <f t="shared" si="12"/>
        <v/>
      </c>
      <c r="E72" s="151"/>
      <c r="F72" s="146" t="str">
        <f t="shared" si="13"/>
        <v/>
      </c>
      <c r="G72" s="186"/>
      <c r="H72" s="146" t="str">
        <f t="shared" si="14"/>
        <v/>
      </c>
      <c r="I72" s="185"/>
      <c r="J72" s="185"/>
      <c r="K72" s="185"/>
      <c r="M72" s="141" t="str">
        <f t="shared" si="15"/>
        <v/>
      </c>
      <c r="N72" s="141" t="str">
        <f t="shared" si="16"/>
        <v/>
      </c>
      <c r="R72" s="141">
        <v>3811</v>
      </c>
      <c r="S72" s="141" t="s">
        <v>62</v>
      </c>
      <c r="U72" s="141" t="str">
        <f t="shared" si="10"/>
        <v>38</v>
      </c>
      <c r="V72" s="141" t="str">
        <f t="shared" si="11"/>
        <v>381</v>
      </c>
      <c r="X72" t="s">
        <v>1202</v>
      </c>
      <c r="Y72" t="s">
        <v>1203</v>
      </c>
    </row>
    <row r="73" spans="1:25">
      <c r="A73" s="145" t="str">
        <f>IF(C73="","",VLOOKUP('Opći dio'!$C$3,'Opći dio'!$L$6:$U$136,10,FALSE))</f>
        <v/>
      </c>
      <c r="B73" s="145" t="str">
        <f>IF(C73="","",VLOOKUP('Opći dio'!$C$3,'Opći dio'!$L$6:$U$136,9,FALSE))</f>
        <v/>
      </c>
      <c r="C73" s="151"/>
      <c r="D73" s="146" t="str">
        <f t="shared" si="12"/>
        <v/>
      </c>
      <c r="E73" s="151"/>
      <c r="F73" s="146" t="str">
        <f t="shared" si="13"/>
        <v/>
      </c>
      <c r="G73" s="186"/>
      <c r="H73" s="146" t="str">
        <f t="shared" si="14"/>
        <v/>
      </c>
      <c r="I73" s="185"/>
      <c r="J73" s="185"/>
      <c r="K73" s="185"/>
      <c r="M73" s="141" t="str">
        <f t="shared" si="15"/>
        <v/>
      </c>
      <c r="N73" s="141" t="str">
        <f t="shared" si="16"/>
        <v/>
      </c>
      <c r="R73" s="141">
        <v>3812</v>
      </c>
      <c r="S73" s="141" t="s">
        <v>158</v>
      </c>
      <c r="U73" s="141" t="str">
        <f t="shared" si="10"/>
        <v>38</v>
      </c>
      <c r="V73" s="141" t="str">
        <f t="shared" si="11"/>
        <v>381</v>
      </c>
      <c r="X73" t="s">
        <v>820</v>
      </c>
      <c r="Y73" t="s">
        <v>821</v>
      </c>
    </row>
    <row r="74" spans="1:25">
      <c r="A74" s="145" t="str">
        <f>IF(C74="","",VLOOKUP('Opći dio'!$C$3,'Opći dio'!$L$6:$U$136,10,FALSE))</f>
        <v/>
      </c>
      <c r="B74" s="145" t="str">
        <f>IF(C74="","",VLOOKUP('Opći dio'!$C$3,'Opći dio'!$L$6:$U$136,9,FALSE))</f>
        <v/>
      </c>
      <c r="C74" s="151"/>
      <c r="D74" s="146" t="str">
        <f t="shared" si="12"/>
        <v/>
      </c>
      <c r="E74" s="151"/>
      <c r="F74" s="146" t="str">
        <f t="shared" si="13"/>
        <v/>
      </c>
      <c r="G74" s="186"/>
      <c r="H74" s="146" t="str">
        <f t="shared" si="14"/>
        <v/>
      </c>
      <c r="I74" s="185"/>
      <c r="J74" s="185"/>
      <c r="K74" s="185"/>
      <c r="M74" s="141" t="str">
        <f t="shared" si="15"/>
        <v/>
      </c>
      <c r="N74" s="141" t="str">
        <f t="shared" si="16"/>
        <v/>
      </c>
      <c r="R74" s="141">
        <v>3813</v>
      </c>
      <c r="S74" s="141" t="s">
        <v>101</v>
      </c>
      <c r="U74" s="141" t="str">
        <f t="shared" ref="U74:U80" si="17">LEFT(R74,2)</f>
        <v>38</v>
      </c>
      <c r="V74" s="141" t="str">
        <f t="shared" ref="V74:V80" si="18">LEFT(R74,3)</f>
        <v>381</v>
      </c>
      <c r="X74" t="s">
        <v>1204</v>
      </c>
      <c r="Y74" t="s">
        <v>1196</v>
      </c>
    </row>
    <row r="75" spans="1:25">
      <c r="A75" s="145" t="str">
        <f>IF(C75="","",VLOOKUP('Opći dio'!$C$3,'Opći dio'!$L$6:$U$136,10,FALSE))</f>
        <v/>
      </c>
      <c r="B75" s="145" t="str">
        <f>IF(C75="","",VLOOKUP('Opći dio'!$C$3,'Opći dio'!$L$6:$U$136,9,FALSE))</f>
        <v/>
      </c>
      <c r="C75" s="151"/>
      <c r="D75" s="146" t="str">
        <f t="shared" si="12"/>
        <v/>
      </c>
      <c r="E75" s="151"/>
      <c r="F75" s="146" t="str">
        <f t="shared" si="13"/>
        <v/>
      </c>
      <c r="G75" s="186"/>
      <c r="H75" s="146" t="str">
        <f t="shared" si="14"/>
        <v/>
      </c>
      <c r="I75" s="185"/>
      <c r="J75" s="185"/>
      <c r="K75" s="185"/>
      <c r="M75" s="141" t="str">
        <f t="shared" si="15"/>
        <v/>
      </c>
      <c r="N75" s="141" t="str">
        <f t="shared" si="16"/>
        <v/>
      </c>
      <c r="R75" s="141">
        <v>3821</v>
      </c>
      <c r="S75" s="141" t="s">
        <v>176</v>
      </c>
      <c r="U75" s="141" t="str">
        <f t="shared" si="17"/>
        <v>38</v>
      </c>
      <c r="V75" s="141" t="str">
        <f t="shared" si="18"/>
        <v>382</v>
      </c>
      <c r="X75" t="s">
        <v>823</v>
      </c>
      <c r="Y75" t="s">
        <v>1579</v>
      </c>
    </row>
    <row r="76" spans="1:25">
      <c r="A76" s="145" t="str">
        <f>IF(C76="","",VLOOKUP('Opći dio'!$C$3,'Opći dio'!$L$6:$U$136,10,FALSE))</f>
        <v/>
      </c>
      <c r="B76" s="145" t="str">
        <f>IF(C76="","",VLOOKUP('Opći dio'!$C$3,'Opći dio'!$L$6:$U$136,9,FALSE))</f>
        <v/>
      </c>
      <c r="C76" s="151"/>
      <c r="D76" s="146" t="str">
        <f t="shared" si="12"/>
        <v/>
      </c>
      <c r="E76" s="151"/>
      <c r="F76" s="146" t="str">
        <f t="shared" si="13"/>
        <v/>
      </c>
      <c r="G76" s="186"/>
      <c r="H76" s="146" t="str">
        <f t="shared" si="14"/>
        <v/>
      </c>
      <c r="I76" s="185"/>
      <c r="J76" s="185"/>
      <c r="K76" s="185"/>
      <c r="M76" s="141" t="str">
        <f t="shared" si="15"/>
        <v/>
      </c>
      <c r="N76" s="141" t="str">
        <f t="shared" si="16"/>
        <v/>
      </c>
      <c r="R76" s="141">
        <v>3831</v>
      </c>
      <c r="S76" s="141" t="s">
        <v>159</v>
      </c>
      <c r="U76" s="141" t="str">
        <f t="shared" si="17"/>
        <v>38</v>
      </c>
      <c r="V76" s="141" t="str">
        <f t="shared" si="18"/>
        <v>383</v>
      </c>
      <c r="X76" t="s">
        <v>824</v>
      </c>
      <c r="Y76" t="s">
        <v>825</v>
      </c>
    </row>
    <row r="77" spans="1:25">
      <c r="A77" s="145" t="str">
        <f>IF(C77="","",VLOOKUP('Opći dio'!$C$3,'Opći dio'!$L$6:$U$136,10,FALSE))</f>
        <v/>
      </c>
      <c r="B77" s="145" t="str">
        <f>IF(C77="","",VLOOKUP('Opći dio'!$C$3,'Opći dio'!$L$6:$U$136,9,FALSE))</f>
        <v/>
      </c>
      <c r="C77" s="151"/>
      <c r="D77" s="146" t="str">
        <f t="shared" si="12"/>
        <v/>
      </c>
      <c r="E77" s="151"/>
      <c r="F77" s="146" t="str">
        <f t="shared" si="13"/>
        <v/>
      </c>
      <c r="G77" s="186"/>
      <c r="H77" s="146" t="str">
        <f t="shared" si="14"/>
        <v/>
      </c>
      <c r="I77" s="185"/>
      <c r="J77" s="185"/>
      <c r="K77" s="185"/>
      <c r="M77" s="141" t="str">
        <f t="shared" si="15"/>
        <v/>
      </c>
      <c r="N77" s="141" t="str">
        <f t="shared" si="16"/>
        <v/>
      </c>
      <c r="R77" s="141">
        <v>3832</v>
      </c>
      <c r="S77" s="141" t="s">
        <v>199</v>
      </c>
      <c r="U77" s="141" t="str">
        <f t="shared" si="17"/>
        <v>38</v>
      </c>
      <c r="V77" s="141" t="str">
        <f t="shared" si="18"/>
        <v>383</v>
      </c>
      <c r="X77" t="s">
        <v>1238</v>
      </c>
      <c r="Y77" t="s">
        <v>1239</v>
      </c>
    </row>
    <row r="78" spans="1:25">
      <c r="A78" s="145" t="str">
        <f>IF(C78="","",VLOOKUP('Opći dio'!$C$3,'Opći dio'!$L$6:$U$136,10,FALSE))</f>
        <v/>
      </c>
      <c r="B78" s="145" t="str">
        <f>IF(C78="","",VLOOKUP('Opći dio'!$C$3,'Opći dio'!$L$6:$U$136,9,FALSE))</f>
        <v/>
      </c>
      <c r="C78" s="151"/>
      <c r="D78" s="146" t="str">
        <f t="shared" si="12"/>
        <v/>
      </c>
      <c r="E78" s="151"/>
      <c r="F78" s="146" t="str">
        <f t="shared" si="13"/>
        <v/>
      </c>
      <c r="G78" s="186"/>
      <c r="H78" s="146" t="str">
        <f t="shared" si="14"/>
        <v/>
      </c>
      <c r="I78" s="185"/>
      <c r="J78" s="185"/>
      <c r="K78" s="185"/>
      <c r="M78" s="141" t="str">
        <f t="shared" si="15"/>
        <v/>
      </c>
      <c r="N78" s="141" t="str">
        <f t="shared" si="16"/>
        <v/>
      </c>
      <c r="R78" s="141">
        <v>3833</v>
      </c>
      <c r="S78" s="141" t="s">
        <v>160</v>
      </c>
      <c r="U78" s="141" t="str">
        <f t="shared" si="17"/>
        <v>38</v>
      </c>
      <c r="V78" s="141" t="str">
        <f t="shared" si="18"/>
        <v>383</v>
      </c>
      <c r="X78" t="s">
        <v>1240</v>
      </c>
      <c r="Y78" t="s">
        <v>1241</v>
      </c>
    </row>
    <row r="79" spans="1:25">
      <c r="A79" s="145" t="str">
        <f>IF(C79="","",VLOOKUP('Opći dio'!$C$3,'Opći dio'!$L$6:$U$136,10,FALSE))</f>
        <v/>
      </c>
      <c r="B79" s="145" t="str">
        <f>IF(C79="","",VLOOKUP('Opći dio'!$C$3,'Opći dio'!$L$6:$U$136,9,FALSE))</f>
        <v/>
      </c>
      <c r="C79" s="151"/>
      <c r="D79" s="146" t="str">
        <f t="shared" si="12"/>
        <v/>
      </c>
      <c r="E79" s="151"/>
      <c r="F79" s="146" t="str">
        <f t="shared" si="13"/>
        <v/>
      </c>
      <c r="G79" s="186"/>
      <c r="H79" s="146" t="str">
        <f t="shared" si="14"/>
        <v/>
      </c>
      <c r="I79" s="185"/>
      <c r="J79" s="185"/>
      <c r="K79" s="185"/>
      <c r="M79" s="141" t="str">
        <f t="shared" si="15"/>
        <v/>
      </c>
      <c r="N79" s="141" t="str">
        <f t="shared" si="16"/>
        <v/>
      </c>
      <c r="R79" s="141">
        <v>3834</v>
      </c>
      <c r="S79" s="141" t="s">
        <v>161</v>
      </c>
      <c r="U79" s="141" t="str">
        <f t="shared" si="17"/>
        <v>38</v>
      </c>
      <c r="V79" s="141" t="str">
        <f t="shared" si="18"/>
        <v>383</v>
      </c>
      <c r="X79" t="s">
        <v>1244</v>
      </c>
      <c r="Y79" t="s">
        <v>1245</v>
      </c>
    </row>
    <row r="80" spans="1:25">
      <c r="A80" s="145" t="str">
        <f>IF(C80="","",VLOOKUP('Opći dio'!$C$3,'Opći dio'!$L$6:$U$136,10,FALSE))</f>
        <v/>
      </c>
      <c r="B80" s="145" t="str">
        <f>IF(C80="","",VLOOKUP('Opći dio'!$C$3,'Opći dio'!$L$6:$U$136,9,FALSE))</f>
        <v/>
      </c>
      <c r="C80" s="151"/>
      <c r="D80" s="146" t="str">
        <f t="shared" si="12"/>
        <v/>
      </c>
      <c r="E80" s="151"/>
      <c r="F80" s="146" t="str">
        <f t="shared" si="13"/>
        <v/>
      </c>
      <c r="G80" s="186"/>
      <c r="H80" s="146" t="str">
        <f t="shared" si="14"/>
        <v/>
      </c>
      <c r="I80" s="185"/>
      <c r="J80" s="185"/>
      <c r="K80" s="185"/>
      <c r="M80" s="141" t="str">
        <f t="shared" si="15"/>
        <v/>
      </c>
      <c r="N80" s="141" t="str">
        <f t="shared" si="16"/>
        <v/>
      </c>
      <c r="R80" s="141">
        <v>3835</v>
      </c>
      <c r="S80" s="141" t="s">
        <v>162</v>
      </c>
      <c r="U80" s="141" t="str">
        <f t="shared" si="17"/>
        <v>38</v>
      </c>
      <c r="V80" s="141" t="str">
        <f t="shared" si="18"/>
        <v>383</v>
      </c>
      <c r="X80" t="s">
        <v>1246</v>
      </c>
      <c r="Y80" t="s">
        <v>1247</v>
      </c>
    </row>
    <row r="81" spans="1:25">
      <c r="A81" s="145" t="str">
        <f>IF(C81="","",VLOOKUP('Opći dio'!$C$3,'Opći dio'!$L$6:$U$136,10,FALSE))</f>
        <v/>
      </c>
      <c r="B81" s="145" t="str">
        <f>IF(C81="","",VLOOKUP('Opći dio'!$C$3,'Opći dio'!$L$6:$U$136,9,FALSE))</f>
        <v/>
      </c>
      <c r="C81" s="151"/>
      <c r="D81" s="146" t="str">
        <f t="shared" si="12"/>
        <v/>
      </c>
      <c r="E81" s="151"/>
      <c r="F81" s="146" t="str">
        <f t="shared" si="13"/>
        <v/>
      </c>
      <c r="G81" s="186"/>
      <c r="H81" s="146" t="str">
        <f t="shared" si="14"/>
        <v/>
      </c>
      <c r="I81" s="185"/>
      <c r="J81" s="185"/>
      <c r="K81" s="185"/>
      <c r="M81" s="141" t="str">
        <f t="shared" si="15"/>
        <v/>
      </c>
      <c r="N81" s="141" t="str">
        <f t="shared" si="16"/>
        <v/>
      </c>
      <c r="R81" s="197">
        <v>3861</v>
      </c>
      <c r="S81" s="141" t="s">
        <v>788</v>
      </c>
      <c r="T81" s="197"/>
      <c r="U81" s="197" t="str">
        <f>LEFT(R81,2)</f>
        <v>38</v>
      </c>
      <c r="V81" s="197" t="str">
        <f>LEFT(R81,3)</f>
        <v>386</v>
      </c>
      <c r="X81" t="s">
        <v>1248</v>
      </c>
      <c r="Y81" t="s">
        <v>1580</v>
      </c>
    </row>
    <row r="82" spans="1:25">
      <c r="A82" s="145" t="str">
        <f>IF(C82="","",VLOOKUP('Opći dio'!$C$3,'Opći dio'!$L$6:$U$136,10,FALSE))</f>
        <v/>
      </c>
      <c r="B82" s="145" t="str">
        <f>IF(C82="","",VLOOKUP('Opći dio'!$C$3,'Opći dio'!$L$6:$U$136,9,FALSE))</f>
        <v/>
      </c>
      <c r="C82" s="151"/>
      <c r="D82" s="146" t="str">
        <f t="shared" si="12"/>
        <v/>
      </c>
      <c r="E82" s="151"/>
      <c r="F82" s="146" t="str">
        <f t="shared" si="13"/>
        <v/>
      </c>
      <c r="G82" s="186"/>
      <c r="H82" s="146" t="str">
        <f t="shared" si="14"/>
        <v/>
      </c>
      <c r="I82" s="185"/>
      <c r="J82" s="185"/>
      <c r="K82" s="185"/>
      <c r="M82" s="141" t="str">
        <f t="shared" si="15"/>
        <v/>
      </c>
      <c r="N82" s="141" t="str">
        <f t="shared" si="16"/>
        <v/>
      </c>
      <c r="R82" s="196">
        <v>3862</v>
      </c>
      <c r="S82" s="141" t="s">
        <v>789</v>
      </c>
      <c r="U82" s="141" t="str">
        <f>LEFT(R82,2)</f>
        <v>38</v>
      </c>
      <c r="V82" s="141" t="str">
        <f>LEFT(R82,3)</f>
        <v>386</v>
      </c>
      <c r="X82" t="s">
        <v>1249</v>
      </c>
      <c r="Y82" t="s">
        <v>1250</v>
      </c>
    </row>
    <row r="83" spans="1:25">
      <c r="A83" s="145" t="str">
        <f>IF(C83="","",VLOOKUP('Opći dio'!$C$3,'Opći dio'!$L$6:$U$136,10,FALSE))</f>
        <v/>
      </c>
      <c r="B83" s="145" t="str">
        <f>IF(C83="","",VLOOKUP('Opći dio'!$C$3,'Opći dio'!$L$6:$U$136,9,FALSE))</f>
        <v/>
      </c>
      <c r="C83" s="151"/>
      <c r="D83" s="146" t="str">
        <f t="shared" si="12"/>
        <v/>
      </c>
      <c r="E83" s="151"/>
      <c r="F83" s="146" t="str">
        <f t="shared" si="13"/>
        <v/>
      </c>
      <c r="G83" s="186"/>
      <c r="H83" s="146" t="str">
        <f t="shared" si="14"/>
        <v/>
      </c>
      <c r="I83" s="185"/>
      <c r="J83" s="185"/>
      <c r="K83" s="185"/>
      <c r="M83" s="141" t="str">
        <f t="shared" si="15"/>
        <v/>
      </c>
      <c r="N83" s="141" t="str">
        <f t="shared" si="16"/>
        <v/>
      </c>
      <c r="R83" s="196">
        <v>3863</v>
      </c>
      <c r="S83" s="141" t="s">
        <v>790</v>
      </c>
      <c r="U83" s="141" t="str">
        <f>LEFT(R83,2)</f>
        <v>38</v>
      </c>
      <c r="V83" s="141" t="str">
        <f>LEFT(R83,3)</f>
        <v>386</v>
      </c>
      <c r="X83" t="s">
        <v>1255</v>
      </c>
      <c r="Y83" t="s">
        <v>1256</v>
      </c>
    </row>
    <row r="84" spans="1:25">
      <c r="A84" s="145" t="str">
        <f>IF(C84="","",VLOOKUP('Opći dio'!$C$3,'Opći dio'!$L$6:$U$136,10,FALSE))</f>
        <v/>
      </c>
      <c r="B84" s="145" t="str">
        <f>IF(C84="","",VLOOKUP('Opći dio'!$C$3,'Opći dio'!$L$6:$U$136,9,FALSE))</f>
        <v/>
      </c>
      <c r="C84" s="151"/>
      <c r="D84" s="146" t="str">
        <f t="shared" si="12"/>
        <v/>
      </c>
      <c r="E84" s="151"/>
      <c r="F84" s="146" t="str">
        <f t="shared" si="13"/>
        <v/>
      </c>
      <c r="G84" s="186"/>
      <c r="H84" s="146" t="str">
        <f t="shared" si="14"/>
        <v/>
      </c>
      <c r="I84" s="185"/>
      <c r="J84" s="185"/>
      <c r="K84" s="185"/>
      <c r="M84" s="141" t="str">
        <f t="shared" si="15"/>
        <v/>
      </c>
      <c r="N84" s="141" t="str">
        <f t="shared" si="16"/>
        <v/>
      </c>
      <c r="R84" s="141">
        <v>4111</v>
      </c>
      <c r="S84" s="141" t="s">
        <v>163</v>
      </c>
      <c r="U84" s="141" t="str">
        <f t="shared" ref="U84:U101" si="19">LEFT(R84,2)</f>
        <v>41</v>
      </c>
      <c r="V84" s="141" t="str">
        <f t="shared" ref="V84:V118" si="20">LEFT(R84,3)</f>
        <v>411</v>
      </c>
      <c r="X84" t="s">
        <v>1257</v>
      </c>
      <c r="Y84" t="s">
        <v>1258</v>
      </c>
    </row>
    <row r="85" spans="1:25">
      <c r="A85" s="145" t="str">
        <f>IF(C85="","",VLOOKUP('Opći dio'!$C$3,'Opći dio'!$L$6:$U$136,10,FALSE))</f>
        <v/>
      </c>
      <c r="B85" s="145" t="str">
        <f>IF(C85="","",VLOOKUP('Opći dio'!$C$3,'Opći dio'!$L$6:$U$136,9,FALSE))</f>
        <v/>
      </c>
      <c r="C85" s="151"/>
      <c r="D85" s="146" t="str">
        <f t="shared" si="12"/>
        <v/>
      </c>
      <c r="E85" s="151"/>
      <c r="F85" s="146" t="str">
        <f t="shared" si="13"/>
        <v/>
      </c>
      <c r="G85" s="186"/>
      <c r="H85" s="146" t="str">
        <f t="shared" si="14"/>
        <v/>
      </c>
      <c r="I85" s="185"/>
      <c r="J85" s="185"/>
      <c r="K85" s="185"/>
      <c r="M85" s="141" t="str">
        <f t="shared" si="15"/>
        <v/>
      </c>
      <c r="N85" s="141" t="str">
        <f t="shared" si="16"/>
        <v/>
      </c>
      <c r="R85" s="141">
        <v>4113</v>
      </c>
      <c r="S85" s="141" t="s">
        <v>197</v>
      </c>
      <c r="U85" s="141" t="str">
        <f t="shared" si="19"/>
        <v>41</v>
      </c>
      <c r="V85" s="141" t="str">
        <f t="shared" si="20"/>
        <v>411</v>
      </c>
      <c r="X85" t="s">
        <v>1259</v>
      </c>
      <c r="Y85" t="s">
        <v>1260</v>
      </c>
    </row>
    <row r="86" spans="1:25">
      <c r="A86" s="145" t="str">
        <f>IF(C86="","",VLOOKUP('Opći dio'!$C$3,'Opći dio'!$L$6:$U$136,10,FALSE))</f>
        <v/>
      </c>
      <c r="B86" s="145" t="str">
        <f>IF(C86="","",VLOOKUP('Opći dio'!$C$3,'Opći dio'!$L$6:$U$136,9,FALSE))</f>
        <v/>
      </c>
      <c r="C86" s="151"/>
      <c r="D86" s="146" t="str">
        <f t="shared" si="12"/>
        <v/>
      </c>
      <c r="E86" s="151"/>
      <c r="F86" s="146" t="str">
        <f t="shared" si="13"/>
        <v/>
      </c>
      <c r="G86" s="186"/>
      <c r="H86" s="146" t="str">
        <f t="shared" si="14"/>
        <v/>
      </c>
      <c r="I86" s="185"/>
      <c r="J86" s="185"/>
      <c r="K86" s="185"/>
      <c r="M86" s="141" t="str">
        <f t="shared" si="15"/>
        <v/>
      </c>
      <c r="N86" s="141" t="str">
        <f t="shared" si="16"/>
        <v/>
      </c>
      <c r="R86" s="141">
        <v>4122</v>
      </c>
      <c r="S86" s="141" t="s">
        <v>164</v>
      </c>
      <c r="U86" s="141" t="str">
        <f t="shared" si="19"/>
        <v>41</v>
      </c>
      <c r="V86" s="141" t="str">
        <f t="shared" si="20"/>
        <v>412</v>
      </c>
      <c r="X86" t="s">
        <v>1261</v>
      </c>
      <c r="Y86" t="s">
        <v>1262</v>
      </c>
    </row>
    <row r="87" spans="1:25">
      <c r="A87" s="145" t="str">
        <f>IF(C87="","",VLOOKUP('Opći dio'!$C$3,'Opći dio'!$L$6:$U$136,10,FALSE))</f>
        <v/>
      </c>
      <c r="B87" s="145" t="str">
        <f>IF(C87="","",VLOOKUP('Opći dio'!$C$3,'Opći dio'!$L$6:$U$136,9,FALSE))</f>
        <v/>
      </c>
      <c r="C87" s="151"/>
      <c r="D87" s="146" t="str">
        <f t="shared" si="12"/>
        <v/>
      </c>
      <c r="E87" s="151"/>
      <c r="F87" s="146" t="str">
        <f t="shared" si="13"/>
        <v/>
      </c>
      <c r="G87" s="186"/>
      <c r="H87" s="146" t="str">
        <f t="shared" si="14"/>
        <v/>
      </c>
      <c r="I87" s="185"/>
      <c r="J87" s="185"/>
      <c r="K87" s="185"/>
      <c r="M87" s="141" t="str">
        <f t="shared" si="15"/>
        <v/>
      </c>
      <c r="N87" s="141" t="str">
        <f t="shared" si="16"/>
        <v/>
      </c>
      <c r="R87" s="141">
        <v>4123</v>
      </c>
      <c r="S87" s="141" t="s">
        <v>135</v>
      </c>
      <c r="U87" s="141" t="str">
        <f t="shared" si="19"/>
        <v>41</v>
      </c>
      <c r="V87" s="141" t="str">
        <f t="shared" si="20"/>
        <v>412</v>
      </c>
      <c r="X87" t="s">
        <v>1263</v>
      </c>
      <c r="Y87" t="s">
        <v>1264</v>
      </c>
    </row>
    <row r="88" spans="1:25">
      <c r="A88" s="145" t="str">
        <f>IF(C88="","",VLOOKUP('Opći dio'!$C$3,'Opći dio'!$L$6:$U$136,10,FALSE))</f>
        <v/>
      </c>
      <c r="B88" s="145" t="str">
        <f>IF(C88="","",VLOOKUP('Opći dio'!$C$3,'Opći dio'!$L$6:$U$136,9,FALSE))</f>
        <v/>
      </c>
      <c r="C88" s="151"/>
      <c r="D88" s="146" t="str">
        <f t="shared" si="12"/>
        <v/>
      </c>
      <c r="E88" s="151"/>
      <c r="F88" s="146" t="str">
        <f t="shared" si="13"/>
        <v/>
      </c>
      <c r="G88" s="186"/>
      <c r="H88" s="146" t="str">
        <f t="shared" si="14"/>
        <v/>
      </c>
      <c r="I88" s="185"/>
      <c r="J88" s="185"/>
      <c r="K88" s="185"/>
      <c r="M88" s="141" t="str">
        <f t="shared" si="15"/>
        <v/>
      </c>
      <c r="N88" s="141" t="str">
        <f t="shared" si="16"/>
        <v/>
      </c>
      <c r="R88" s="141">
        <v>4124</v>
      </c>
      <c r="S88" s="141" t="s">
        <v>121</v>
      </c>
      <c r="U88" s="141" t="str">
        <f t="shared" si="19"/>
        <v>41</v>
      </c>
      <c r="V88" s="141" t="str">
        <f t="shared" si="20"/>
        <v>412</v>
      </c>
      <c r="X88" t="s">
        <v>1265</v>
      </c>
      <c r="Y88" t="s">
        <v>1266</v>
      </c>
    </row>
    <row r="89" spans="1:25">
      <c r="A89" s="145" t="str">
        <f>IF(C89="","",VLOOKUP('Opći dio'!$C$3,'Opći dio'!$L$6:$U$136,10,FALSE))</f>
        <v/>
      </c>
      <c r="B89" s="145" t="str">
        <f>IF(C89="","",VLOOKUP('Opći dio'!$C$3,'Opći dio'!$L$6:$U$136,9,FALSE))</f>
        <v/>
      </c>
      <c r="C89" s="151"/>
      <c r="D89" s="146" t="str">
        <f t="shared" si="12"/>
        <v/>
      </c>
      <c r="E89" s="151"/>
      <c r="F89" s="146" t="str">
        <f t="shared" si="13"/>
        <v/>
      </c>
      <c r="G89" s="186"/>
      <c r="H89" s="146" t="str">
        <f t="shared" si="14"/>
        <v/>
      </c>
      <c r="I89" s="185"/>
      <c r="J89" s="185"/>
      <c r="K89" s="185"/>
      <c r="M89" s="141" t="str">
        <f t="shared" si="15"/>
        <v/>
      </c>
      <c r="N89" s="141" t="str">
        <f t="shared" si="16"/>
        <v/>
      </c>
      <c r="R89" s="141">
        <v>4126</v>
      </c>
      <c r="S89" s="141" t="s">
        <v>165</v>
      </c>
      <c r="U89" s="141" t="str">
        <f t="shared" si="19"/>
        <v>41</v>
      </c>
      <c r="V89" s="141" t="str">
        <f t="shared" si="20"/>
        <v>412</v>
      </c>
      <c r="X89" t="s">
        <v>1267</v>
      </c>
      <c r="Y89" t="s">
        <v>1268</v>
      </c>
    </row>
    <row r="90" spans="1:25">
      <c r="A90" s="145" t="str">
        <f>IF(C90="","",VLOOKUP('Opći dio'!$C$3,'Opći dio'!$L$6:$U$136,10,FALSE))</f>
        <v/>
      </c>
      <c r="B90" s="145" t="str">
        <f>IF(C90="","",VLOOKUP('Opći dio'!$C$3,'Opći dio'!$L$6:$U$136,9,FALSE))</f>
        <v/>
      </c>
      <c r="C90" s="151"/>
      <c r="D90" s="146" t="str">
        <f t="shared" si="12"/>
        <v/>
      </c>
      <c r="E90" s="151"/>
      <c r="F90" s="146" t="str">
        <f t="shared" si="13"/>
        <v/>
      </c>
      <c r="G90" s="186"/>
      <c r="H90" s="146" t="str">
        <f t="shared" si="14"/>
        <v/>
      </c>
      <c r="I90" s="185"/>
      <c r="J90" s="185"/>
      <c r="K90" s="185"/>
      <c r="M90" s="141" t="str">
        <f t="shared" si="15"/>
        <v/>
      </c>
      <c r="N90" s="141" t="str">
        <f t="shared" si="16"/>
        <v/>
      </c>
      <c r="R90" s="141">
        <v>4211</v>
      </c>
      <c r="S90" s="141" t="s">
        <v>179</v>
      </c>
      <c r="U90" s="141" t="str">
        <f t="shared" si="19"/>
        <v>42</v>
      </c>
      <c r="V90" s="141" t="str">
        <f t="shared" si="20"/>
        <v>421</v>
      </c>
      <c r="X90" t="s">
        <v>1269</v>
      </c>
      <c r="Y90" t="s">
        <v>1270</v>
      </c>
    </row>
    <row r="91" spans="1:25">
      <c r="A91" s="145" t="str">
        <f>IF(C91="","",VLOOKUP('Opći dio'!$C$3,'Opći dio'!$L$6:$U$136,10,FALSE))</f>
        <v/>
      </c>
      <c r="B91" s="145" t="str">
        <f>IF(C91="","",VLOOKUP('Opći dio'!$C$3,'Opći dio'!$L$6:$U$136,9,FALSE))</f>
        <v/>
      </c>
      <c r="C91" s="151"/>
      <c r="D91" s="146" t="str">
        <f t="shared" si="12"/>
        <v/>
      </c>
      <c r="E91" s="151"/>
      <c r="F91" s="146" t="str">
        <f t="shared" si="13"/>
        <v/>
      </c>
      <c r="G91" s="186"/>
      <c r="H91" s="146" t="str">
        <f t="shared" si="14"/>
        <v/>
      </c>
      <c r="I91" s="185"/>
      <c r="J91" s="185"/>
      <c r="K91" s="185"/>
      <c r="M91" s="141" t="str">
        <f t="shared" si="15"/>
        <v/>
      </c>
      <c r="N91" s="141" t="str">
        <f t="shared" si="16"/>
        <v/>
      </c>
      <c r="R91" s="141">
        <v>4212</v>
      </c>
      <c r="S91" s="141" t="s">
        <v>67</v>
      </c>
      <c r="U91" s="141" t="str">
        <f t="shared" si="19"/>
        <v>42</v>
      </c>
      <c r="V91" s="141" t="str">
        <f t="shared" si="20"/>
        <v>421</v>
      </c>
      <c r="X91" t="s">
        <v>1271</v>
      </c>
      <c r="Y91" t="s">
        <v>1272</v>
      </c>
    </row>
    <row r="92" spans="1:25">
      <c r="A92" s="145" t="str">
        <f>IF(C92="","",VLOOKUP('Opći dio'!$C$3,'Opći dio'!$L$6:$U$136,10,FALSE))</f>
        <v/>
      </c>
      <c r="B92" s="145" t="str">
        <f>IF(C92="","",VLOOKUP('Opći dio'!$C$3,'Opći dio'!$L$6:$U$136,9,FALSE))</f>
        <v/>
      </c>
      <c r="C92" s="151"/>
      <c r="D92" s="146" t="str">
        <f t="shared" si="12"/>
        <v/>
      </c>
      <c r="E92" s="151"/>
      <c r="F92" s="146" t="str">
        <f t="shared" si="13"/>
        <v/>
      </c>
      <c r="G92" s="186"/>
      <c r="H92" s="146" t="str">
        <f t="shared" si="14"/>
        <v/>
      </c>
      <c r="I92" s="185"/>
      <c r="J92" s="185"/>
      <c r="K92" s="185"/>
      <c r="M92" s="141" t="str">
        <f t="shared" si="15"/>
        <v/>
      </c>
      <c r="N92" s="141" t="str">
        <f t="shared" si="16"/>
        <v/>
      </c>
      <c r="R92" s="141">
        <v>4213</v>
      </c>
      <c r="S92" s="141" t="s">
        <v>166</v>
      </c>
      <c r="U92" s="141" t="str">
        <f t="shared" si="19"/>
        <v>42</v>
      </c>
      <c r="V92" s="141" t="str">
        <f t="shared" si="20"/>
        <v>421</v>
      </c>
      <c r="X92" t="s">
        <v>1273</v>
      </c>
      <c r="Y92" t="s">
        <v>1274</v>
      </c>
    </row>
    <row r="93" spans="1:25">
      <c r="A93" s="145" t="str">
        <f>IF(C93="","",VLOOKUP('Opći dio'!$C$3,'Opći dio'!$L$6:$U$136,10,FALSE))</f>
        <v/>
      </c>
      <c r="B93" s="145" t="str">
        <f>IF(C93="","",VLOOKUP('Opći dio'!$C$3,'Opći dio'!$L$6:$U$136,9,FALSE))</f>
        <v/>
      </c>
      <c r="C93" s="151"/>
      <c r="D93" s="146" t="str">
        <f t="shared" si="12"/>
        <v/>
      </c>
      <c r="E93" s="151"/>
      <c r="F93" s="146" t="str">
        <f t="shared" si="13"/>
        <v/>
      </c>
      <c r="G93" s="186"/>
      <c r="H93" s="146" t="str">
        <f t="shared" si="14"/>
        <v/>
      </c>
      <c r="I93" s="185"/>
      <c r="J93" s="185"/>
      <c r="K93" s="185"/>
      <c r="M93" s="141" t="str">
        <f t="shared" si="15"/>
        <v/>
      </c>
      <c r="N93" s="141" t="str">
        <f t="shared" si="16"/>
        <v/>
      </c>
      <c r="R93" s="141">
        <v>4214</v>
      </c>
      <c r="S93" s="141" t="s">
        <v>167</v>
      </c>
      <c r="U93" s="141" t="str">
        <f t="shared" si="19"/>
        <v>42</v>
      </c>
      <c r="V93" s="141" t="str">
        <f t="shared" si="20"/>
        <v>421</v>
      </c>
      <c r="X93" t="s">
        <v>1275</v>
      </c>
      <c r="Y93" t="s">
        <v>1276</v>
      </c>
    </row>
    <row r="94" spans="1:25">
      <c r="A94" s="145" t="str">
        <f>IF(C94="","",VLOOKUP('Opći dio'!$C$3,'Opći dio'!$L$6:$U$136,10,FALSE))</f>
        <v/>
      </c>
      <c r="B94" s="145" t="str">
        <f>IF(C94="","",VLOOKUP('Opći dio'!$C$3,'Opći dio'!$L$6:$U$136,9,FALSE))</f>
        <v/>
      </c>
      <c r="C94" s="151"/>
      <c r="D94" s="146" t="str">
        <f t="shared" si="12"/>
        <v/>
      </c>
      <c r="E94" s="151"/>
      <c r="F94" s="146" t="str">
        <f t="shared" si="13"/>
        <v/>
      </c>
      <c r="G94" s="186"/>
      <c r="H94" s="146" t="str">
        <f t="shared" si="14"/>
        <v/>
      </c>
      <c r="I94" s="185"/>
      <c r="J94" s="185"/>
      <c r="K94" s="185"/>
      <c r="M94" s="141" t="str">
        <f t="shared" si="15"/>
        <v/>
      </c>
      <c r="N94" s="141" t="str">
        <f t="shared" si="16"/>
        <v/>
      </c>
      <c r="R94" s="141">
        <v>4221</v>
      </c>
      <c r="S94" s="141" t="s">
        <v>102</v>
      </c>
      <c r="U94" s="141" t="str">
        <f t="shared" si="19"/>
        <v>42</v>
      </c>
      <c r="V94" s="141" t="str">
        <f t="shared" si="20"/>
        <v>422</v>
      </c>
      <c r="X94" t="s">
        <v>2074</v>
      </c>
      <c r="Y94" t="s">
        <v>2075</v>
      </c>
    </row>
    <row r="95" spans="1:25">
      <c r="A95" s="145" t="str">
        <f>IF(C95="","",VLOOKUP('Opći dio'!$C$3,'Opći dio'!$L$6:$U$136,10,FALSE))</f>
        <v/>
      </c>
      <c r="B95" s="145" t="str">
        <f>IF(C95="","",VLOOKUP('Opći dio'!$C$3,'Opći dio'!$L$6:$U$136,9,FALSE))</f>
        <v/>
      </c>
      <c r="C95" s="151"/>
      <c r="D95" s="146" t="str">
        <f t="shared" si="12"/>
        <v/>
      </c>
      <c r="E95" s="151"/>
      <c r="F95" s="146" t="str">
        <f t="shared" si="13"/>
        <v/>
      </c>
      <c r="G95" s="186"/>
      <c r="H95" s="146" t="str">
        <f t="shared" si="14"/>
        <v/>
      </c>
      <c r="I95" s="185"/>
      <c r="J95" s="185"/>
      <c r="K95" s="185"/>
      <c r="M95" s="141" t="str">
        <f t="shared" si="15"/>
        <v/>
      </c>
      <c r="N95" s="141" t="str">
        <f t="shared" si="16"/>
        <v/>
      </c>
      <c r="R95" s="141">
        <v>4222</v>
      </c>
      <c r="S95" s="141" t="s">
        <v>113</v>
      </c>
      <c r="U95" s="141" t="str">
        <f t="shared" si="19"/>
        <v>42</v>
      </c>
      <c r="V95" s="141" t="str">
        <f t="shared" si="20"/>
        <v>422</v>
      </c>
      <c r="X95" t="s">
        <v>1277</v>
      </c>
      <c r="Y95" t="s">
        <v>1278</v>
      </c>
    </row>
    <row r="96" spans="1:25">
      <c r="A96" s="145" t="str">
        <f>IF(C96="","",VLOOKUP('Opći dio'!$C$3,'Opći dio'!$L$6:$U$136,10,FALSE))</f>
        <v/>
      </c>
      <c r="B96" s="145" t="str">
        <f>IF(C96="","",VLOOKUP('Opći dio'!$C$3,'Opći dio'!$L$6:$U$136,9,FALSE))</f>
        <v/>
      </c>
      <c r="C96" s="151"/>
      <c r="D96" s="146" t="str">
        <f t="shared" si="12"/>
        <v/>
      </c>
      <c r="E96" s="151"/>
      <c r="F96" s="146" t="str">
        <f t="shared" si="13"/>
        <v/>
      </c>
      <c r="G96" s="186"/>
      <c r="H96" s="146" t="str">
        <f t="shared" si="14"/>
        <v/>
      </c>
      <c r="I96" s="185"/>
      <c r="J96" s="185"/>
      <c r="K96" s="185"/>
      <c r="M96" s="141" t="str">
        <f t="shared" si="15"/>
        <v/>
      </c>
      <c r="N96" s="141" t="str">
        <f t="shared" si="16"/>
        <v/>
      </c>
      <c r="R96" s="141">
        <v>4223</v>
      </c>
      <c r="S96" s="141" t="s">
        <v>126</v>
      </c>
      <c r="U96" s="141" t="str">
        <f t="shared" si="19"/>
        <v>42</v>
      </c>
      <c r="V96" s="141" t="str">
        <f t="shared" si="20"/>
        <v>422</v>
      </c>
      <c r="X96" t="s">
        <v>1279</v>
      </c>
      <c r="Y96" t="s">
        <v>1280</v>
      </c>
    </row>
    <row r="97" spans="1:25">
      <c r="A97" s="145" t="str">
        <f>IF(C97="","",VLOOKUP('Opći dio'!$C$3,'Opći dio'!$L$6:$U$136,10,FALSE))</f>
        <v/>
      </c>
      <c r="B97" s="145" t="str">
        <f>IF(C97="","",VLOOKUP('Opći dio'!$C$3,'Opći dio'!$L$6:$U$136,9,FALSE))</f>
        <v/>
      </c>
      <c r="C97" s="151"/>
      <c r="D97" s="146" t="str">
        <f t="shared" si="12"/>
        <v/>
      </c>
      <c r="E97" s="151"/>
      <c r="F97" s="146" t="str">
        <f t="shared" si="13"/>
        <v/>
      </c>
      <c r="G97" s="186"/>
      <c r="H97" s="146" t="str">
        <f t="shared" si="14"/>
        <v/>
      </c>
      <c r="I97" s="185"/>
      <c r="J97" s="185"/>
      <c r="K97" s="185"/>
      <c r="M97" s="141" t="str">
        <f t="shared" si="15"/>
        <v/>
      </c>
      <c r="N97" s="141" t="str">
        <f t="shared" si="16"/>
        <v/>
      </c>
      <c r="R97" s="141">
        <v>4224</v>
      </c>
      <c r="S97" s="141" t="s">
        <v>119</v>
      </c>
      <c r="U97" s="141" t="str">
        <f t="shared" si="19"/>
        <v>42</v>
      </c>
      <c r="V97" s="141" t="str">
        <f t="shared" si="20"/>
        <v>422</v>
      </c>
      <c r="X97" t="s">
        <v>1287</v>
      </c>
      <c r="Y97" t="s">
        <v>1288</v>
      </c>
    </row>
    <row r="98" spans="1:25">
      <c r="A98" s="145" t="str">
        <f>IF(C98="","",VLOOKUP('Opći dio'!$C$3,'Opći dio'!$L$6:$U$136,10,FALSE))</f>
        <v/>
      </c>
      <c r="B98" s="145" t="str">
        <f>IF(C98="","",VLOOKUP('Opći dio'!$C$3,'Opći dio'!$L$6:$U$136,9,FALSE))</f>
        <v/>
      </c>
      <c r="C98" s="151"/>
      <c r="D98" s="146" t="str">
        <f t="shared" si="12"/>
        <v/>
      </c>
      <c r="E98" s="151"/>
      <c r="F98" s="146" t="str">
        <f t="shared" si="13"/>
        <v/>
      </c>
      <c r="G98" s="186"/>
      <c r="H98" s="146" t="str">
        <f t="shared" si="14"/>
        <v/>
      </c>
      <c r="I98" s="185"/>
      <c r="J98" s="185"/>
      <c r="K98" s="185"/>
      <c r="M98" s="141" t="str">
        <f t="shared" si="15"/>
        <v/>
      </c>
      <c r="N98" s="141" t="str">
        <f t="shared" si="16"/>
        <v/>
      </c>
      <c r="R98" s="141">
        <v>4225</v>
      </c>
      <c r="S98" s="141" t="s">
        <v>123</v>
      </c>
      <c r="U98" s="141" t="str">
        <f t="shared" si="19"/>
        <v>42</v>
      </c>
      <c r="V98" s="141" t="str">
        <f t="shared" si="20"/>
        <v>422</v>
      </c>
      <c r="X98" t="s">
        <v>1289</v>
      </c>
      <c r="Y98" t="s">
        <v>1582</v>
      </c>
    </row>
    <row r="99" spans="1:25">
      <c r="A99" s="145" t="str">
        <f>IF(C99="","",VLOOKUP('Opći dio'!$C$3,'Opći dio'!$L$6:$U$136,10,FALSE))</f>
        <v/>
      </c>
      <c r="B99" s="145" t="str">
        <f>IF(C99="","",VLOOKUP('Opći dio'!$C$3,'Opći dio'!$L$6:$U$136,9,FALSE))</f>
        <v/>
      </c>
      <c r="C99" s="151"/>
      <c r="D99" s="146" t="str">
        <f t="shared" si="12"/>
        <v/>
      </c>
      <c r="E99" s="151"/>
      <c r="F99" s="146" t="str">
        <f t="shared" si="13"/>
        <v/>
      </c>
      <c r="G99" s="186"/>
      <c r="H99" s="146" t="str">
        <f t="shared" si="14"/>
        <v/>
      </c>
      <c r="I99" s="185"/>
      <c r="J99" s="185"/>
      <c r="K99" s="185"/>
      <c r="M99" s="141" t="str">
        <f t="shared" si="15"/>
        <v/>
      </c>
      <c r="N99" s="141" t="str">
        <f t="shared" si="16"/>
        <v/>
      </c>
      <c r="R99" s="141">
        <v>4226</v>
      </c>
      <c r="S99" s="141" t="s">
        <v>168</v>
      </c>
      <c r="U99" s="141" t="str">
        <f t="shared" si="19"/>
        <v>42</v>
      </c>
      <c r="V99" s="141" t="str">
        <f t="shared" si="20"/>
        <v>422</v>
      </c>
      <c r="X99" t="s">
        <v>1292</v>
      </c>
      <c r="Y99" t="s">
        <v>1293</v>
      </c>
    </row>
    <row r="100" spans="1:25">
      <c r="A100" s="145" t="str">
        <f>IF(C100="","",VLOOKUP('Opći dio'!$C$3,'Opći dio'!$L$6:$U$136,10,FALSE))</f>
        <v/>
      </c>
      <c r="B100" s="145" t="str">
        <f>IF(C100="","",VLOOKUP('Opći dio'!$C$3,'Opći dio'!$L$6:$U$136,9,FALSE))</f>
        <v/>
      </c>
      <c r="C100" s="151"/>
      <c r="D100" s="146" t="str">
        <f t="shared" si="12"/>
        <v/>
      </c>
      <c r="E100" s="151"/>
      <c r="F100" s="146" t="str">
        <f t="shared" si="13"/>
        <v/>
      </c>
      <c r="G100" s="186"/>
      <c r="H100" s="146" t="str">
        <f t="shared" si="14"/>
        <v/>
      </c>
      <c r="I100" s="185"/>
      <c r="J100" s="185"/>
      <c r="K100" s="185"/>
      <c r="M100" s="141" t="str">
        <f t="shared" si="15"/>
        <v/>
      </c>
      <c r="N100" s="141" t="str">
        <f t="shared" si="16"/>
        <v/>
      </c>
      <c r="R100" s="141">
        <v>4227</v>
      </c>
      <c r="S100" s="141" t="s">
        <v>136</v>
      </c>
      <c r="U100" s="141" t="str">
        <f t="shared" si="19"/>
        <v>42</v>
      </c>
      <c r="V100" s="141" t="str">
        <f t="shared" si="20"/>
        <v>422</v>
      </c>
      <c r="X100" t="s">
        <v>1294</v>
      </c>
      <c r="Y100" t="s">
        <v>1581</v>
      </c>
    </row>
    <row r="101" spans="1:25">
      <c r="A101" s="145" t="str">
        <f>IF(C101="","",VLOOKUP('Opći dio'!$C$3,'Opći dio'!$L$6:$U$136,10,FALSE))</f>
        <v/>
      </c>
      <c r="B101" s="145" t="str">
        <f>IF(C101="","",VLOOKUP('Opći dio'!$C$3,'Opći dio'!$L$6:$U$136,9,FALSE))</f>
        <v/>
      </c>
      <c r="C101" s="151"/>
      <c r="D101" s="146" t="str">
        <f t="shared" si="12"/>
        <v/>
      </c>
      <c r="E101" s="151"/>
      <c r="F101" s="146" t="str">
        <f t="shared" si="13"/>
        <v/>
      </c>
      <c r="G101" s="186"/>
      <c r="H101" s="146" t="str">
        <f t="shared" si="14"/>
        <v/>
      </c>
      <c r="I101" s="185"/>
      <c r="J101" s="185"/>
      <c r="K101" s="185"/>
      <c r="M101" s="141" t="str">
        <f t="shared" si="15"/>
        <v/>
      </c>
      <c r="N101" s="141" t="str">
        <f t="shared" si="16"/>
        <v/>
      </c>
      <c r="R101" s="141">
        <v>4231</v>
      </c>
      <c r="S101" s="141" t="s">
        <v>169</v>
      </c>
      <c r="U101" s="141" t="str">
        <f t="shared" si="19"/>
        <v>42</v>
      </c>
      <c r="V101" s="141" t="str">
        <f t="shared" si="20"/>
        <v>423</v>
      </c>
      <c r="X101" t="s">
        <v>1295</v>
      </c>
      <c r="Y101" t="s">
        <v>1296</v>
      </c>
    </row>
    <row r="102" spans="1:25">
      <c r="A102" s="145" t="str">
        <f>IF(C102="","",VLOOKUP('Opći dio'!$C$3,'Opći dio'!$L$6:$U$136,10,FALSE))</f>
        <v/>
      </c>
      <c r="B102" s="145" t="str">
        <f>IF(C102="","",VLOOKUP('Opći dio'!$C$3,'Opći dio'!$L$6:$U$136,9,FALSE))</f>
        <v/>
      </c>
      <c r="C102" s="151"/>
      <c r="D102" s="146" t="str">
        <f t="shared" si="12"/>
        <v/>
      </c>
      <c r="E102" s="151"/>
      <c r="F102" s="146" t="str">
        <f t="shared" si="13"/>
        <v/>
      </c>
      <c r="G102" s="186"/>
      <c r="H102" s="146" t="str">
        <f t="shared" si="14"/>
        <v/>
      </c>
      <c r="I102" s="185"/>
      <c r="J102" s="185"/>
      <c r="K102" s="185"/>
      <c r="M102" s="141" t="str">
        <f t="shared" si="15"/>
        <v/>
      </c>
      <c r="N102" s="141" t="str">
        <f t="shared" si="16"/>
        <v/>
      </c>
      <c r="R102" s="141">
        <v>4233</v>
      </c>
      <c r="S102" s="141" t="s">
        <v>177</v>
      </c>
      <c r="U102" s="141" t="str">
        <f t="shared" ref="U102:U129" si="21">LEFT(R102,2)</f>
        <v>42</v>
      </c>
      <c r="V102" s="141" t="str">
        <f t="shared" si="20"/>
        <v>423</v>
      </c>
      <c r="X102" t="s">
        <v>1297</v>
      </c>
      <c r="Y102" t="s">
        <v>1583</v>
      </c>
    </row>
    <row r="103" spans="1:25">
      <c r="A103" s="145" t="str">
        <f>IF(C103="","",VLOOKUP('Opći dio'!$C$3,'Opći dio'!$L$6:$U$136,10,FALSE))</f>
        <v/>
      </c>
      <c r="B103" s="145" t="str">
        <f>IF(C103="","",VLOOKUP('Opći dio'!$C$3,'Opći dio'!$L$6:$U$136,9,FALSE))</f>
        <v/>
      </c>
      <c r="C103" s="151"/>
      <c r="D103" s="146" t="str">
        <f t="shared" si="12"/>
        <v/>
      </c>
      <c r="E103" s="151"/>
      <c r="F103" s="146" t="str">
        <f t="shared" si="13"/>
        <v/>
      </c>
      <c r="G103" s="186"/>
      <c r="H103" s="146" t="str">
        <f t="shared" si="14"/>
        <v/>
      </c>
      <c r="I103" s="185"/>
      <c r="J103" s="185"/>
      <c r="K103" s="185"/>
      <c r="M103" s="141" t="str">
        <f t="shared" si="15"/>
        <v/>
      </c>
      <c r="N103" s="141" t="str">
        <f t="shared" si="16"/>
        <v/>
      </c>
      <c r="R103" s="141">
        <v>4241</v>
      </c>
      <c r="S103" s="141" t="s">
        <v>114</v>
      </c>
      <c r="U103" s="141" t="str">
        <f t="shared" si="21"/>
        <v>42</v>
      </c>
      <c r="V103" s="141" t="str">
        <f t="shared" si="20"/>
        <v>424</v>
      </c>
      <c r="X103" t="s">
        <v>1302</v>
      </c>
      <c r="Y103" t="s">
        <v>1303</v>
      </c>
    </row>
    <row r="104" spans="1:25">
      <c r="A104" s="145" t="str">
        <f>IF(C104="","",VLOOKUP('Opći dio'!$C$3,'Opći dio'!$L$6:$U$136,10,FALSE))</f>
        <v/>
      </c>
      <c r="B104" s="145" t="str">
        <f>IF(C104="","",VLOOKUP('Opći dio'!$C$3,'Opći dio'!$L$6:$U$136,9,FALSE))</f>
        <v/>
      </c>
      <c r="C104" s="151"/>
      <c r="D104" s="146" t="str">
        <f t="shared" si="12"/>
        <v/>
      </c>
      <c r="E104" s="151"/>
      <c r="F104" s="146" t="str">
        <f t="shared" si="13"/>
        <v/>
      </c>
      <c r="G104" s="186"/>
      <c r="H104" s="146" t="str">
        <f t="shared" si="14"/>
        <v/>
      </c>
      <c r="I104" s="185"/>
      <c r="J104" s="185"/>
      <c r="K104" s="185"/>
      <c r="M104" s="141" t="str">
        <f t="shared" si="15"/>
        <v/>
      </c>
      <c r="N104" s="141" t="str">
        <f t="shared" si="16"/>
        <v/>
      </c>
      <c r="R104" s="141">
        <v>4242</v>
      </c>
      <c r="S104" s="141" t="s">
        <v>146</v>
      </c>
      <c r="U104" s="141" t="str">
        <f t="shared" si="21"/>
        <v>42</v>
      </c>
      <c r="V104" s="141" t="str">
        <f t="shared" si="20"/>
        <v>424</v>
      </c>
      <c r="X104" t="s">
        <v>1304</v>
      </c>
      <c r="Y104" t="s">
        <v>1305</v>
      </c>
    </row>
    <row r="105" spans="1:25">
      <c r="A105" s="145" t="str">
        <f>IF(C105="","",VLOOKUP('Opći dio'!$C$3,'Opći dio'!$L$6:$U$136,10,FALSE))</f>
        <v/>
      </c>
      <c r="B105" s="145" t="str">
        <f>IF(C105="","",VLOOKUP('Opći dio'!$C$3,'Opći dio'!$L$6:$U$136,9,FALSE))</f>
        <v/>
      </c>
      <c r="C105" s="151"/>
      <c r="D105" s="146" t="str">
        <f t="shared" si="12"/>
        <v/>
      </c>
      <c r="E105" s="151"/>
      <c r="F105" s="146" t="str">
        <f t="shared" si="13"/>
        <v/>
      </c>
      <c r="G105" s="186"/>
      <c r="H105" s="146" t="str">
        <f t="shared" si="14"/>
        <v/>
      </c>
      <c r="I105" s="185"/>
      <c r="J105" s="185"/>
      <c r="K105" s="185"/>
      <c r="M105" s="141" t="str">
        <f t="shared" si="15"/>
        <v/>
      </c>
      <c r="N105" s="141" t="str">
        <f t="shared" si="16"/>
        <v/>
      </c>
      <c r="R105" s="141">
        <v>4244</v>
      </c>
      <c r="S105" s="141" t="s">
        <v>178</v>
      </c>
      <c r="U105" s="141" t="str">
        <f t="shared" si="21"/>
        <v>42</v>
      </c>
      <c r="V105" s="141" t="str">
        <f t="shared" si="20"/>
        <v>424</v>
      </c>
      <c r="X105" t="s">
        <v>1306</v>
      </c>
      <c r="Y105" t="s">
        <v>1307</v>
      </c>
    </row>
    <row r="106" spans="1:25">
      <c r="A106" s="145" t="str">
        <f>IF(C106="","",VLOOKUP('Opći dio'!$C$3,'Opći dio'!$L$6:$U$136,10,FALSE))</f>
        <v/>
      </c>
      <c r="B106" s="145" t="str">
        <f>IF(C106="","",VLOOKUP('Opći dio'!$C$3,'Opći dio'!$L$6:$U$136,9,FALSE))</f>
        <v/>
      </c>
      <c r="C106" s="151"/>
      <c r="D106" s="146" t="str">
        <f t="shared" si="12"/>
        <v/>
      </c>
      <c r="E106" s="151"/>
      <c r="F106" s="146" t="str">
        <f t="shared" si="13"/>
        <v/>
      </c>
      <c r="G106" s="186"/>
      <c r="H106" s="146" t="str">
        <f t="shared" si="14"/>
        <v/>
      </c>
      <c r="I106" s="185"/>
      <c r="J106" s="185"/>
      <c r="K106" s="185"/>
      <c r="M106" s="141" t="str">
        <f t="shared" si="15"/>
        <v/>
      </c>
      <c r="N106" s="141" t="str">
        <f t="shared" si="16"/>
        <v/>
      </c>
      <c r="R106" s="141">
        <v>4251</v>
      </c>
      <c r="S106" s="141" t="s">
        <v>170</v>
      </c>
      <c r="U106" s="141" t="str">
        <f t="shared" si="21"/>
        <v>42</v>
      </c>
      <c r="V106" s="141" t="str">
        <f t="shared" si="20"/>
        <v>425</v>
      </c>
      <c r="X106" t="s">
        <v>1308</v>
      </c>
      <c r="Y106" t="s">
        <v>1309</v>
      </c>
    </row>
    <row r="107" spans="1:25">
      <c r="A107" s="145" t="str">
        <f>IF(C107="","",VLOOKUP('Opći dio'!$C$3,'Opći dio'!$L$6:$U$136,10,FALSE))</f>
        <v/>
      </c>
      <c r="B107" s="145" t="str">
        <f>IF(C107="","",VLOOKUP('Opći dio'!$C$3,'Opći dio'!$L$6:$U$136,9,FALSE))</f>
        <v/>
      </c>
      <c r="C107" s="151"/>
      <c r="D107" s="146" t="str">
        <f t="shared" si="12"/>
        <v/>
      </c>
      <c r="E107" s="151"/>
      <c r="F107" s="146" t="str">
        <f t="shared" si="13"/>
        <v/>
      </c>
      <c r="G107" s="186"/>
      <c r="H107" s="146" t="str">
        <f t="shared" si="14"/>
        <v/>
      </c>
      <c r="I107" s="185"/>
      <c r="J107" s="185"/>
      <c r="K107" s="185"/>
      <c r="M107" s="141" t="str">
        <f t="shared" si="15"/>
        <v/>
      </c>
      <c r="N107" s="141" t="str">
        <f t="shared" si="16"/>
        <v/>
      </c>
      <c r="R107" s="141">
        <v>4252</v>
      </c>
      <c r="S107" s="141" t="s">
        <v>171</v>
      </c>
      <c r="U107" s="141" t="str">
        <f t="shared" si="21"/>
        <v>42</v>
      </c>
      <c r="V107" s="141" t="str">
        <f t="shared" si="20"/>
        <v>425</v>
      </c>
      <c r="X107" t="s">
        <v>1310</v>
      </c>
      <c r="Y107" t="s">
        <v>1311</v>
      </c>
    </row>
    <row r="108" spans="1:25">
      <c r="A108" s="145" t="str">
        <f>IF(C108="","",VLOOKUP('Opći dio'!$C$3,'Opći dio'!$L$6:$U$136,10,FALSE))</f>
        <v/>
      </c>
      <c r="B108" s="145" t="str">
        <f>IF(C108="","",VLOOKUP('Opći dio'!$C$3,'Opći dio'!$L$6:$U$136,9,FALSE))</f>
        <v/>
      </c>
      <c r="C108" s="151"/>
      <c r="D108" s="146" t="str">
        <f t="shared" si="12"/>
        <v/>
      </c>
      <c r="E108" s="151"/>
      <c r="F108" s="146" t="str">
        <f t="shared" si="13"/>
        <v/>
      </c>
      <c r="G108" s="186"/>
      <c r="H108" s="146" t="str">
        <f t="shared" si="14"/>
        <v/>
      </c>
      <c r="I108" s="185"/>
      <c r="J108" s="185"/>
      <c r="K108" s="185"/>
      <c r="M108" s="141" t="str">
        <f t="shared" si="15"/>
        <v/>
      </c>
      <c r="N108" s="141" t="str">
        <f t="shared" si="16"/>
        <v/>
      </c>
      <c r="R108" s="141">
        <v>4262</v>
      </c>
      <c r="S108" s="141" t="s">
        <v>115</v>
      </c>
      <c r="U108" s="141" t="str">
        <f t="shared" si="21"/>
        <v>42</v>
      </c>
      <c r="V108" s="141" t="str">
        <f t="shared" si="20"/>
        <v>426</v>
      </c>
      <c r="X108" t="s">
        <v>1312</v>
      </c>
      <c r="Y108" t="s">
        <v>1313</v>
      </c>
    </row>
    <row r="109" spans="1:25">
      <c r="A109" s="145" t="str">
        <f>IF(C109="","",VLOOKUP('Opći dio'!$C$3,'Opći dio'!$L$6:$U$136,10,FALSE))</f>
        <v/>
      </c>
      <c r="B109" s="145" t="str">
        <f>IF(C109="","",VLOOKUP('Opći dio'!$C$3,'Opći dio'!$L$6:$U$136,9,FALSE))</f>
        <v/>
      </c>
      <c r="C109" s="151"/>
      <c r="D109" s="146" t="str">
        <f t="shared" si="12"/>
        <v/>
      </c>
      <c r="E109" s="151"/>
      <c r="F109" s="146" t="str">
        <f t="shared" si="13"/>
        <v/>
      </c>
      <c r="G109" s="186"/>
      <c r="H109" s="146" t="str">
        <f t="shared" si="14"/>
        <v/>
      </c>
      <c r="I109" s="185"/>
      <c r="J109" s="185"/>
      <c r="K109" s="185"/>
      <c r="M109" s="141" t="str">
        <f t="shared" si="15"/>
        <v/>
      </c>
      <c r="N109" s="141" t="str">
        <f t="shared" si="16"/>
        <v/>
      </c>
      <c r="R109" s="141">
        <v>4263</v>
      </c>
      <c r="S109" s="141" t="s">
        <v>172</v>
      </c>
      <c r="U109" s="141" t="str">
        <f t="shared" si="21"/>
        <v>42</v>
      </c>
      <c r="V109" s="141" t="str">
        <f t="shared" si="20"/>
        <v>426</v>
      </c>
      <c r="X109" t="s">
        <v>2076</v>
      </c>
      <c r="Y109" t="s">
        <v>2077</v>
      </c>
    </row>
    <row r="110" spans="1:25">
      <c r="A110" s="145" t="str">
        <f>IF(C110="","",VLOOKUP('Opći dio'!$C$3,'Opći dio'!$L$6:$U$136,10,FALSE))</f>
        <v/>
      </c>
      <c r="B110" s="145" t="str">
        <f>IF(C110="","",VLOOKUP('Opći dio'!$C$3,'Opći dio'!$L$6:$U$136,9,FALSE))</f>
        <v/>
      </c>
      <c r="C110" s="151"/>
      <c r="D110" s="146" t="str">
        <f t="shared" si="12"/>
        <v/>
      </c>
      <c r="E110" s="151"/>
      <c r="F110" s="146" t="str">
        <f t="shared" si="13"/>
        <v/>
      </c>
      <c r="G110" s="186"/>
      <c r="H110" s="146" t="str">
        <f t="shared" si="14"/>
        <v/>
      </c>
      <c r="I110" s="185"/>
      <c r="J110" s="185"/>
      <c r="K110" s="185"/>
      <c r="M110" s="141" t="str">
        <f t="shared" si="15"/>
        <v/>
      </c>
      <c r="N110" s="141" t="str">
        <f t="shared" si="16"/>
        <v/>
      </c>
      <c r="R110" s="141">
        <v>4264</v>
      </c>
      <c r="S110" s="141" t="s">
        <v>127</v>
      </c>
      <c r="U110" s="141" t="str">
        <f t="shared" si="21"/>
        <v>42</v>
      </c>
      <c r="V110" s="141" t="str">
        <f t="shared" si="20"/>
        <v>426</v>
      </c>
      <c r="X110" t="s">
        <v>1314</v>
      </c>
      <c r="Y110" t="s">
        <v>1315</v>
      </c>
    </row>
    <row r="111" spans="1:25">
      <c r="A111" s="145" t="str">
        <f>IF(C111="","",VLOOKUP('Opći dio'!$C$3,'Opći dio'!$L$6:$U$136,10,FALSE))</f>
        <v/>
      </c>
      <c r="B111" s="145" t="str">
        <f>IF(C111="","",VLOOKUP('Opći dio'!$C$3,'Opći dio'!$L$6:$U$136,9,FALSE))</f>
        <v/>
      </c>
      <c r="C111" s="151"/>
      <c r="D111" s="146" t="str">
        <f t="shared" si="12"/>
        <v/>
      </c>
      <c r="E111" s="151"/>
      <c r="F111" s="146" t="str">
        <f t="shared" si="13"/>
        <v/>
      </c>
      <c r="G111" s="186"/>
      <c r="H111" s="146" t="str">
        <f t="shared" si="14"/>
        <v/>
      </c>
      <c r="I111" s="185"/>
      <c r="J111" s="185"/>
      <c r="K111" s="185"/>
      <c r="M111" s="141" t="str">
        <f t="shared" si="15"/>
        <v/>
      </c>
      <c r="N111" s="141" t="str">
        <f t="shared" si="16"/>
        <v/>
      </c>
      <c r="R111" s="141">
        <v>4312</v>
      </c>
      <c r="S111" s="141" t="s">
        <v>129</v>
      </c>
      <c r="U111" s="141" t="str">
        <f t="shared" si="21"/>
        <v>43</v>
      </c>
      <c r="V111" s="141" t="str">
        <f t="shared" si="20"/>
        <v>431</v>
      </c>
      <c r="X111" t="s">
        <v>2078</v>
      </c>
      <c r="Y111" t="s">
        <v>1282</v>
      </c>
    </row>
    <row r="112" spans="1:25">
      <c r="A112" s="145" t="str">
        <f>IF(C112="","",VLOOKUP('Opći dio'!$C$3,'Opći dio'!$L$6:$U$136,10,FALSE))</f>
        <v/>
      </c>
      <c r="B112" s="145" t="str">
        <f>IF(C112="","",VLOOKUP('Opći dio'!$C$3,'Opći dio'!$L$6:$U$136,9,FALSE))</f>
        <v/>
      </c>
      <c r="C112" s="151"/>
      <c r="D112" s="146" t="str">
        <f t="shared" si="12"/>
        <v/>
      </c>
      <c r="E112" s="151"/>
      <c r="F112" s="146" t="str">
        <f t="shared" si="13"/>
        <v/>
      </c>
      <c r="G112" s="186"/>
      <c r="H112" s="146" t="str">
        <f t="shared" si="14"/>
        <v/>
      </c>
      <c r="I112" s="185"/>
      <c r="J112" s="185"/>
      <c r="K112" s="185"/>
      <c r="M112" s="141" t="str">
        <f t="shared" si="15"/>
        <v/>
      </c>
      <c r="N112" s="141" t="str">
        <f t="shared" si="16"/>
        <v/>
      </c>
      <c r="R112" s="141">
        <v>4411</v>
      </c>
      <c r="S112" s="141" t="s">
        <v>173</v>
      </c>
      <c r="U112" s="141" t="str">
        <f t="shared" si="21"/>
        <v>44</v>
      </c>
      <c r="V112" s="141" t="str">
        <f t="shared" si="20"/>
        <v>441</v>
      </c>
      <c r="X112" t="s">
        <v>2079</v>
      </c>
      <c r="Y112" t="s">
        <v>813</v>
      </c>
    </row>
    <row r="113" spans="1:25">
      <c r="A113" s="145" t="str">
        <f>IF(C113="","",VLOOKUP('Opći dio'!$C$3,'Opći dio'!$L$6:$U$136,10,FALSE))</f>
        <v/>
      </c>
      <c r="B113" s="145" t="str">
        <f>IF(C113="","",VLOOKUP('Opći dio'!$C$3,'Opći dio'!$L$6:$U$136,9,FALSE))</f>
        <v/>
      </c>
      <c r="C113" s="151"/>
      <c r="D113" s="146" t="str">
        <f t="shared" si="12"/>
        <v/>
      </c>
      <c r="E113" s="151"/>
      <c r="F113" s="146" t="str">
        <f t="shared" si="13"/>
        <v/>
      </c>
      <c r="G113" s="186"/>
      <c r="H113" s="146" t="str">
        <f t="shared" si="14"/>
        <v/>
      </c>
      <c r="I113" s="185"/>
      <c r="J113" s="185"/>
      <c r="K113" s="185"/>
      <c r="M113" s="141" t="str">
        <f t="shared" si="15"/>
        <v/>
      </c>
      <c r="N113" s="141" t="str">
        <f t="shared" si="16"/>
        <v/>
      </c>
      <c r="R113" s="141">
        <v>4511</v>
      </c>
      <c r="S113" s="141" t="s">
        <v>128</v>
      </c>
      <c r="U113" s="141" t="str">
        <f t="shared" si="21"/>
        <v>45</v>
      </c>
      <c r="V113" s="141" t="str">
        <f t="shared" si="20"/>
        <v>451</v>
      </c>
      <c r="X113" t="s">
        <v>1318</v>
      </c>
      <c r="Y113" t="s">
        <v>1319</v>
      </c>
    </row>
    <row r="114" spans="1:25">
      <c r="A114" s="145" t="str">
        <f>IF(C114="","",VLOOKUP('Opći dio'!$C$3,'Opći dio'!$L$6:$U$136,10,FALSE))</f>
        <v/>
      </c>
      <c r="B114" s="145" t="str">
        <f>IF(C114="","",VLOOKUP('Opći dio'!$C$3,'Opći dio'!$L$6:$U$136,9,FALSE))</f>
        <v/>
      </c>
      <c r="C114" s="151"/>
      <c r="D114" s="146" t="str">
        <f t="shared" si="12"/>
        <v/>
      </c>
      <c r="E114" s="151"/>
      <c r="F114" s="146" t="str">
        <f t="shared" si="13"/>
        <v/>
      </c>
      <c r="G114" s="186"/>
      <c r="H114" s="146" t="str">
        <f t="shared" si="14"/>
        <v/>
      </c>
      <c r="I114" s="185"/>
      <c r="J114" s="185"/>
      <c r="K114" s="185"/>
      <c r="M114" s="141" t="str">
        <f t="shared" si="15"/>
        <v/>
      </c>
      <c r="N114" s="141" t="str">
        <f t="shared" si="16"/>
        <v/>
      </c>
      <c r="R114" s="141">
        <v>4521</v>
      </c>
      <c r="S114" s="141" t="s">
        <v>147</v>
      </c>
      <c r="U114" s="141" t="str">
        <f t="shared" si="21"/>
        <v>45</v>
      </c>
      <c r="V114" s="141" t="str">
        <f t="shared" si="20"/>
        <v>452</v>
      </c>
      <c r="X114" t="s">
        <v>1320</v>
      </c>
      <c r="Y114" t="s">
        <v>1321</v>
      </c>
    </row>
    <row r="115" spans="1:25">
      <c r="A115" s="145" t="str">
        <f>IF(C115="","",VLOOKUP('Opći dio'!$C$3,'Opći dio'!$L$6:$U$136,10,FALSE))</f>
        <v/>
      </c>
      <c r="B115" s="145" t="str">
        <f>IF(C115="","",VLOOKUP('Opći dio'!$C$3,'Opći dio'!$L$6:$U$136,9,FALSE))</f>
        <v/>
      </c>
      <c r="C115" s="151"/>
      <c r="D115" s="146" t="str">
        <f t="shared" si="12"/>
        <v/>
      </c>
      <c r="E115" s="151"/>
      <c r="F115" s="146" t="str">
        <f t="shared" si="13"/>
        <v/>
      </c>
      <c r="G115" s="186"/>
      <c r="H115" s="146" t="str">
        <f t="shared" si="14"/>
        <v/>
      </c>
      <c r="I115" s="185"/>
      <c r="J115" s="185"/>
      <c r="K115" s="185"/>
      <c r="M115" s="141" t="str">
        <f t="shared" si="15"/>
        <v/>
      </c>
      <c r="N115" s="141" t="str">
        <f t="shared" si="16"/>
        <v/>
      </c>
      <c r="R115" s="141">
        <v>4531</v>
      </c>
      <c r="S115" s="141" t="s">
        <v>190</v>
      </c>
      <c r="U115" s="141" t="str">
        <f t="shared" si="21"/>
        <v>45</v>
      </c>
      <c r="V115" s="141" t="str">
        <f t="shared" si="20"/>
        <v>453</v>
      </c>
      <c r="X115" t="s">
        <v>1322</v>
      </c>
      <c r="Y115" t="s">
        <v>1323</v>
      </c>
    </row>
    <row r="116" spans="1:25">
      <c r="A116" s="145" t="str">
        <f>IF(C116="","",VLOOKUP('Opći dio'!$C$3,'Opći dio'!$L$6:$U$136,10,FALSE))</f>
        <v/>
      </c>
      <c r="B116" s="145" t="str">
        <f>IF(C116="","",VLOOKUP('Opći dio'!$C$3,'Opći dio'!$L$6:$U$136,9,FALSE))</f>
        <v/>
      </c>
      <c r="C116" s="151"/>
      <c r="D116" s="146" t="str">
        <f t="shared" si="12"/>
        <v/>
      </c>
      <c r="E116" s="151"/>
      <c r="F116" s="146" t="str">
        <f t="shared" si="13"/>
        <v/>
      </c>
      <c r="G116" s="186"/>
      <c r="H116" s="146" t="str">
        <f t="shared" si="14"/>
        <v/>
      </c>
      <c r="I116" s="185"/>
      <c r="J116" s="185"/>
      <c r="K116" s="185"/>
      <c r="M116" s="141" t="str">
        <f t="shared" si="15"/>
        <v/>
      </c>
      <c r="N116" s="141" t="str">
        <f t="shared" si="16"/>
        <v/>
      </c>
      <c r="R116" s="141">
        <v>4541</v>
      </c>
      <c r="S116" s="141" t="s">
        <v>142</v>
      </c>
      <c r="U116" s="141" t="str">
        <f t="shared" si="21"/>
        <v>45</v>
      </c>
      <c r="V116" s="141" t="str">
        <f t="shared" si="20"/>
        <v>454</v>
      </c>
      <c r="X116" t="s">
        <v>1324</v>
      </c>
      <c r="Y116" t="s">
        <v>1325</v>
      </c>
    </row>
    <row r="117" spans="1:25">
      <c r="A117" s="145" t="str">
        <f>IF(C117="","",VLOOKUP('Opći dio'!$C$3,'Opći dio'!$L$6:$U$136,10,FALSE))</f>
        <v/>
      </c>
      <c r="B117" s="145" t="str">
        <f>IF(C117="","",VLOOKUP('Opći dio'!$C$3,'Opći dio'!$L$6:$U$136,9,FALSE))</f>
        <v/>
      </c>
      <c r="C117" s="151"/>
      <c r="D117" s="146" t="str">
        <f t="shared" si="12"/>
        <v/>
      </c>
      <c r="E117" s="151"/>
      <c r="F117" s="146" t="str">
        <f t="shared" si="13"/>
        <v/>
      </c>
      <c r="G117" s="186"/>
      <c r="H117" s="146" t="str">
        <f t="shared" si="14"/>
        <v/>
      </c>
      <c r="I117" s="185"/>
      <c r="J117" s="185"/>
      <c r="K117" s="185"/>
      <c r="M117" s="141" t="str">
        <f t="shared" si="15"/>
        <v/>
      </c>
      <c r="N117" s="141" t="str">
        <f t="shared" si="16"/>
        <v/>
      </c>
      <c r="R117" s="141">
        <v>5121</v>
      </c>
      <c r="S117" s="141" t="s">
        <v>198</v>
      </c>
      <c r="U117" s="141" t="str">
        <f t="shared" si="21"/>
        <v>51</v>
      </c>
      <c r="V117" s="141" t="str">
        <f t="shared" si="20"/>
        <v>512</v>
      </c>
      <c r="X117" t="s">
        <v>1326</v>
      </c>
      <c r="Y117" t="s">
        <v>1327</v>
      </c>
    </row>
    <row r="118" spans="1:25">
      <c r="A118" s="145" t="str">
        <f>IF(C118="","",VLOOKUP('Opći dio'!$C$3,'Opći dio'!$L$6:$U$136,10,FALSE))</f>
        <v/>
      </c>
      <c r="B118" s="145" t="str">
        <f>IF(C118="","",VLOOKUP('Opći dio'!$C$3,'Opći dio'!$L$6:$U$136,9,FALSE))</f>
        <v/>
      </c>
      <c r="C118" s="151"/>
      <c r="D118" s="146" t="str">
        <f t="shared" si="12"/>
        <v/>
      </c>
      <c r="E118" s="151"/>
      <c r="F118" s="146" t="str">
        <f t="shared" si="13"/>
        <v/>
      </c>
      <c r="G118" s="186"/>
      <c r="H118" s="146" t="str">
        <f t="shared" si="14"/>
        <v/>
      </c>
      <c r="I118" s="185"/>
      <c r="J118" s="185"/>
      <c r="K118" s="185"/>
      <c r="M118" s="141" t="str">
        <f t="shared" si="15"/>
        <v/>
      </c>
      <c r="N118" s="141" t="str">
        <f t="shared" si="16"/>
        <v/>
      </c>
      <c r="R118" s="141">
        <v>5443</v>
      </c>
      <c r="S118" s="141" t="s">
        <v>174</v>
      </c>
      <c r="U118" s="141" t="str">
        <f t="shared" si="21"/>
        <v>54</v>
      </c>
      <c r="V118" s="141" t="str">
        <f t="shared" si="20"/>
        <v>544</v>
      </c>
      <c r="X118" t="s">
        <v>1328</v>
      </c>
      <c r="Y118" t="s">
        <v>1329</v>
      </c>
    </row>
    <row r="119" spans="1:25">
      <c r="A119" s="145" t="str">
        <f>IF(C119="","",VLOOKUP('Opći dio'!$C$3,'Opći dio'!$L$6:$U$136,10,FALSE))</f>
        <v/>
      </c>
      <c r="B119" s="145" t="str">
        <f>IF(C119="","",VLOOKUP('Opći dio'!$C$3,'Opći dio'!$L$6:$U$136,9,FALSE))</f>
        <v/>
      </c>
      <c r="C119" s="151"/>
      <c r="D119" s="146" t="str">
        <f t="shared" si="12"/>
        <v/>
      </c>
      <c r="E119" s="151"/>
      <c r="F119" s="146" t="str">
        <f t="shared" si="13"/>
        <v/>
      </c>
      <c r="G119" s="186"/>
      <c r="H119" s="146" t="str">
        <f t="shared" si="14"/>
        <v/>
      </c>
      <c r="I119" s="185"/>
      <c r="J119" s="185"/>
      <c r="K119" s="185"/>
      <c r="M119" s="141" t="str">
        <f t="shared" si="15"/>
        <v/>
      </c>
      <c r="N119" s="141" t="str">
        <f t="shared" si="16"/>
        <v/>
      </c>
      <c r="R119" s="141">
        <v>5121</v>
      </c>
      <c r="S119" s="141" t="s">
        <v>766</v>
      </c>
      <c r="U119" s="141" t="str">
        <f t="shared" si="21"/>
        <v>51</v>
      </c>
      <c r="V119" s="141" t="str">
        <f t="shared" ref="V119:V129" si="22">LEFT(R119,3)</f>
        <v>512</v>
      </c>
      <c r="X119" t="s">
        <v>1330</v>
      </c>
      <c r="Y119" t="s">
        <v>1331</v>
      </c>
    </row>
    <row r="120" spans="1:25">
      <c r="A120" s="145" t="str">
        <f>IF(C120="","",VLOOKUP('Opći dio'!$C$3,'Opći dio'!$L$6:$U$136,10,FALSE))</f>
        <v/>
      </c>
      <c r="B120" s="145" t="str">
        <f>IF(C120="","",VLOOKUP('Opći dio'!$C$3,'Opći dio'!$L$6:$U$136,9,FALSE))</f>
        <v/>
      </c>
      <c r="C120" s="151"/>
      <c r="D120" s="146" t="str">
        <f t="shared" si="12"/>
        <v/>
      </c>
      <c r="E120" s="151"/>
      <c r="F120" s="146" t="str">
        <f t="shared" si="13"/>
        <v/>
      </c>
      <c r="G120" s="186"/>
      <c r="H120" s="146" t="str">
        <f t="shared" si="14"/>
        <v/>
      </c>
      <c r="I120" s="185"/>
      <c r="J120" s="185"/>
      <c r="K120" s="185"/>
      <c r="M120" s="141" t="str">
        <f t="shared" si="15"/>
        <v/>
      </c>
      <c r="N120" s="141" t="str">
        <f t="shared" si="16"/>
        <v/>
      </c>
      <c r="R120" s="141">
        <v>5122</v>
      </c>
      <c r="S120" s="141" t="s">
        <v>767</v>
      </c>
      <c r="U120" s="141" t="str">
        <f t="shared" si="21"/>
        <v>51</v>
      </c>
      <c r="V120" s="141" t="str">
        <f t="shared" si="22"/>
        <v>512</v>
      </c>
      <c r="X120" t="s">
        <v>1332</v>
      </c>
      <c r="Y120" t="s">
        <v>1333</v>
      </c>
    </row>
    <row r="121" spans="1:25">
      <c r="A121" s="145" t="str">
        <f>IF(C121="","",VLOOKUP('Opći dio'!$C$3,'Opći dio'!$L$6:$U$136,10,FALSE))</f>
        <v/>
      </c>
      <c r="B121" s="145" t="str">
        <f>IF(C121="","",VLOOKUP('Opći dio'!$C$3,'Opći dio'!$L$6:$U$136,9,FALSE))</f>
        <v/>
      </c>
      <c r="C121" s="151"/>
      <c r="D121" s="146" t="str">
        <f t="shared" si="12"/>
        <v/>
      </c>
      <c r="E121" s="151"/>
      <c r="F121" s="146" t="str">
        <f t="shared" si="13"/>
        <v/>
      </c>
      <c r="G121" s="186"/>
      <c r="H121" s="146" t="str">
        <f t="shared" si="14"/>
        <v/>
      </c>
      <c r="I121" s="185"/>
      <c r="J121" s="185"/>
      <c r="K121" s="185"/>
      <c r="M121" s="141" t="str">
        <f t="shared" si="15"/>
        <v/>
      </c>
      <c r="N121" s="141" t="str">
        <f t="shared" si="16"/>
        <v/>
      </c>
      <c r="R121" s="141">
        <v>5141</v>
      </c>
      <c r="S121" s="141" t="s">
        <v>768</v>
      </c>
      <c r="U121" s="141" t="str">
        <f t="shared" si="21"/>
        <v>51</v>
      </c>
      <c r="V121" s="141" t="str">
        <f t="shared" si="22"/>
        <v>514</v>
      </c>
      <c r="X121" t="s">
        <v>1334</v>
      </c>
      <c r="Y121" t="s">
        <v>1335</v>
      </c>
    </row>
    <row r="122" spans="1:25">
      <c r="A122" s="145" t="str">
        <f>IF(C122="","",VLOOKUP('Opći dio'!$C$3,'Opći dio'!$L$6:$U$136,10,FALSE))</f>
        <v/>
      </c>
      <c r="B122" s="145" t="str">
        <f>IF(C122="","",VLOOKUP('Opći dio'!$C$3,'Opći dio'!$L$6:$U$136,9,FALSE))</f>
        <v/>
      </c>
      <c r="C122" s="151"/>
      <c r="D122" s="146" t="str">
        <f t="shared" si="12"/>
        <v/>
      </c>
      <c r="E122" s="151"/>
      <c r="F122" s="146" t="str">
        <f t="shared" si="13"/>
        <v/>
      </c>
      <c r="G122" s="186"/>
      <c r="H122" s="146" t="str">
        <f t="shared" si="14"/>
        <v/>
      </c>
      <c r="I122" s="185"/>
      <c r="J122" s="185"/>
      <c r="K122" s="185"/>
      <c r="M122" s="141" t="str">
        <f t="shared" si="15"/>
        <v/>
      </c>
      <c r="N122" s="141" t="str">
        <f t="shared" si="16"/>
        <v/>
      </c>
      <c r="R122" s="141">
        <v>5181</v>
      </c>
      <c r="S122" s="141" t="s">
        <v>769</v>
      </c>
      <c r="U122" s="141" t="str">
        <f t="shared" si="21"/>
        <v>51</v>
      </c>
      <c r="V122" s="141" t="str">
        <f t="shared" si="22"/>
        <v>518</v>
      </c>
      <c r="X122" t="s">
        <v>1336</v>
      </c>
      <c r="Y122" t="s">
        <v>1337</v>
      </c>
    </row>
    <row r="123" spans="1:25">
      <c r="A123" s="145" t="str">
        <f>IF(C123="","",VLOOKUP('Opći dio'!$C$3,'Opći dio'!$L$6:$U$136,10,FALSE))</f>
        <v/>
      </c>
      <c r="B123" s="145" t="str">
        <f>IF(C123="","",VLOOKUP('Opći dio'!$C$3,'Opći dio'!$L$6:$U$136,9,FALSE))</f>
        <v/>
      </c>
      <c r="C123" s="151"/>
      <c r="D123" s="146" t="str">
        <f t="shared" si="12"/>
        <v/>
      </c>
      <c r="E123" s="151"/>
      <c r="F123" s="146" t="str">
        <f t="shared" si="13"/>
        <v/>
      </c>
      <c r="G123" s="186"/>
      <c r="H123" s="146" t="str">
        <f t="shared" si="14"/>
        <v/>
      </c>
      <c r="I123" s="185"/>
      <c r="J123" s="185"/>
      <c r="K123" s="185"/>
      <c r="M123" s="141" t="str">
        <f t="shared" si="15"/>
        <v/>
      </c>
      <c r="N123" s="141" t="str">
        <f t="shared" si="16"/>
        <v/>
      </c>
      <c r="R123" s="141">
        <v>5183</v>
      </c>
      <c r="S123" s="141" t="s">
        <v>770</v>
      </c>
      <c r="U123" s="141" t="str">
        <f t="shared" si="21"/>
        <v>51</v>
      </c>
      <c r="V123" s="141" t="str">
        <f t="shared" si="22"/>
        <v>518</v>
      </c>
      <c r="X123" t="s">
        <v>1338</v>
      </c>
      <c r="Y123" t="s">
        <v>1339</v>
      </c>
    </row>
    <row r="124" spans="1:25">
      <c r="A124" s="145" t="str">
        <f>IF(C124="","",VLOOKUP('Opći dio'!$C$3,'Opći dio'!$L$6:$U$136,10,FALSE))</f>
        <v/>
      </c>
      <c r="B124" s="145" t="str">
        <f>IF(C124="","",VLOOKUP('Opći dio'!$C$3,'Opći dio'!$L$6:$U$136,9,FALSE))</f>
        <v/>
      </c>
      <c r="C124" s="151"/>
      <c r="D124" s="146" t="str">
        <f t="shared" si="12"/>
        <v/>
      </c>
      <c r="E124" s="151"/>
      <c r="F124" s="146" t="str">
        <f t="shared" si="13"/>
        <v/>
      </c>
      <c r="G124" s="186"/>
      <c r="H124" s="146" t="str">
        <f t="shared" si="14"/>
        <v/>
      </c>
      <c r="I124" s="185"/>
      <c r="J124" s="185"/>
      <c r="K124" s="185"/>
      <c r="M124" s="141" t="str">
        <f t="shared" si="15"/>
        <v/>
      </c>
      <c r="N124" s="141" t="str">
        <f t="shared" si="16"/>
        <v/>
      </c>
      <c r="R124" s="141">
        <v>5422</v>
      </c>
      <c r="S124" s="141" t="s">
        <v>771</v>
      </c>
      <c r="U124" s="141" t="str">
        <f t="shared" si="21"/>
        <v>54</v>
      </c>
      <c r="V124" s="141" t="str">
        <f t="shared" si="22"/>
        <v>542</v>
      </c>
      <c r="X124" t="s">
        <v>1340</v>
      </c>
      <c r="Y124" t="s">
        <v>1341</v>
      </c>
    </row>
    <row r="125" spans="1:25">
      <c r="A125" s="145" t="str">
        <f>IF(C125="","",VLOOKUP('Opći dio'!$C$3,'Opći dio'!$L$6:$U$136,10,FALSE))</f>
        <v/>
      </c>
      <c r="B125" s="145" t="str">
        <f>IF(C125="","",VLOOKUP('Opći dio'!$C$3,'Opći dio'!$L$6:$U$136,9,FALSE))</f>
        <v/>
      </c>
      <c r="C125" s="151"/>
      <c r="D125" s="146" t="str">
        <f t="shared" si="12"/>
        <v/>
      </c>
      <c r="E125" s="151"/>
      <c r="F125" s="146" t="str">
        <f t="shared" si="13"/>
        <v/>
      </c>
      <c r="G125" s="186"/>
      <c r="H125" s="146" t="str">
        <f t="shared" si="14"/>
        <v/>
      </c>
      <c r="I125" s="185"/>
      <c r="J125" s="185"/>
      <c r="K125" s="185"/>
      <c r="M125" s="141" t="str">
        <f t="shared" si="15"/>
        <v/>
      </c>
      <c r="N125" s="141" t="str">
        <f t="shared" si="16"/>
        <v/>
      </c>
      <c r="R125" s="141">
        <v>5431</v>
      </c>
      <c r="S125" s="141" t="s">
        <v>366</v>
      </c>
      <c r="U125" s="141" t="str">
        <f t="shared" si="21"/>
        <v>54</v>
      </c>
      <c r="V125" s="141" t="str">
        <f t="shared" si="22"/>
        <v>543</v>
      </c>
      <c r="X125" t="s">
        <v>1342</v>
      </c>
      <c r="Y125" t="s">
        <v>1343</v>
      </c>
    </row>
    <row r="126" spans="1:25">
      <c r="A126" s="145" t="str">
        <f>IF(C126="","",VLOOKUP('Opći dio'!$C$3,'Opći dio'!$L$6:$U$136,10,FALSE))</f>
        <v/>
      </c>
      <c r="B126" s="145" t="str">
        <f>IF(C126="","",VLOOKUP('Opći dio'!$C$3,'Opći dio'!$L$6:$U$136,9,FALSE))</f>
        <v/>
      </c>
      <c r="C126" s="151"/>
      <c r="D126" s="146" t="str">
        <f t="shared" si="12"/>
        <v/>
      </c>
      <c r="E126" s="151"/>
      <c r="F126" s="146" t="str">
        <f t="shared" si="13"/>
        <v/>
      </c>
      <c r="G126" s="186"/>
      <c r="H126" s="146" t="str">
        <f t="shared" si="14"/>
        <v/>
      </c>
      <c r="I126" s="185"/>
      <c r="J126" s="185"/>
      <c r="K126" s="185"/>
      <c r="M126" s="141" t="str">
        <f t="shared" si="15"/>
        <v/>
      </c>
      <c r="N126" s="141" t="str">
        <f t="shared" si="16"/>
        <v/>
      </c>
      <c r="R126" s="141">
        <v>5443</v>
      </c>
      <c r="S126" s="141" t="s">
        <v>772</v>
      </c>
      <c r="U126" s="141" t="str">
        <f t="shared" si="21"/>
        <v>54</v>
      </c>
      <c r="V126" s="141" t="str">
        <f t="shared" si="22"/>
        <v>544</v>
      </c>
      <c r="X126" t="s">
        <v>1344</v>
      </c>
      <c r="Y126" t="s">
        <v>1345</v>
      </c>
    </row>
    <row r="127" spans="1:25">
      <c r="A127" s="145" t="str">
        <f>IF(C127="","",VLOOKUP('Opći dio'!$C$3,'Opći dio'!$L$6:$U$136,10,FALSE))</f>
        <v/>
      </c>
      <c r="B127" s="145" t="str">
        <f>IF(C127="","",VLOOKUP('Opći dio'!$C$3,'Opći dio'!$L$6:$U$136,9,FALSE))</f>
        <v/>
      </c>
      <c r="C127" s="151"/>
      <c r="D127" s="146" t="str">
        <f t="shared" si="12"/>
        <v/>
      </c>
      <c r="E127" s="151"/>
      <c r="F127" s="146" t="str">
        <f t="shared" si="13"/>
        <v/>
      </c>
      <c r="G127" s="186"/>
      <c r="H127" s="146" t="str">
        <f t="shared" si="14"/>
        <v/>
      </c>
      <c r="I127" s="185"/>
      <c r="J127" s="185"/>
      <c r="K127" s="185"/>
      <c r="M127" s="141" t="str">
        <f t="shared" si="15"/>
        <v/>
      </c>
      <c r="N127" s="141" t="str">
        <f t="shared" si="16"/>
        <v/>
      </c>
      <c r="R127" s="141">
        <v>5445</v>
      </c>
      <c r="S127" s="141" t="s">
        <v>773</v>
      </c>
      <c r="U127" s="141" t="str">
        <f t="shared" si="21"/>
        <v>54</v>
      </c>
      <c r="V127" s="141" t="str">
        <f t="shared" si="22"/>
        <v>544</v>
      </c>
      <c r="X127" t="s">
        <v>1346</v>
      </c>
      <c r="Y127" t="s">
        <v>1347</v>
      </c>
    </row>
    <row r="128" spans="1:25">
      <c r="A128" s="145" t="str">
        <f>IF(C128="","",VLOOKUP('Opći dio'!$C$3,'Opći dio'!$L$6:$U$136,10,FALSE))</f>
        <v/>
      </c>
      <c r="B128" s="145" t="str">
        <f>IF(C128="","",VLOOKUP('Opći dio'!$C$3,'Opći dio'!$L$6:$U$136,9,FALSE))</f>
        <v/>
      </c>
      <c r="C128" s="151"/>
      <c r="D128" s="146" t="str">
        <f t="shared" si="12"/>
        <v/>
      </c>
      <c r="E128" s="151"/>
      <c r="F128" s="146" t="str">
        <f t="shared" si="13"/>
        <v/>
      </c>
      <c r="G128" s="186"/>
      <c r="H128" s="146" t="str">
        <f t="shared" si="14"/>
        <v/>
      </c>
      <c r="I128" s="185"/>
      <c r="J128" s="185"/>
      <c r="K128" s="185"/>
      <c r="M128" s="141" t="str">
        <f t="shared" si="15"/>
        <v/>
      </c>
      <c r="N128" s="141" t="str">
        <f t="shared" si="16"/>
        <v/>
      </c>
      <c r="R128" s="141">
        <v>5453</v>
      </c>
      <c r="S128" s="141" t="s">
        <v>774</v>
      </c>
      <c r="U128" s="141" t="str">
        <f t="shared" si="21"/>
        <v>54</v>
      </c>
      <c r="V128" s="141" t="str">
        <f t="shared" si="22"/>
        <v>545</v>
      </c>
      <c r="X128" t="s">
        <v>2080</v>
      </c>
      <c r="Y128" t="s">
        <v>2081</v>
      </c>
    </row>
    <row r="129" spans="1:25">
      <c r="A129" s="145" t="str">
        <f>IF(C129="","",VLOOKUP('Opći dio'!$C$3,'Opći dio'!$L$6:$U$136,10,FALSE))</f>
        <v/>
      </c>
      <c r="B129" s="145" t="str">
        <f>IF(C129="","",VLOOKUP('Opći dio'!$C$3,'Opći dio'!$L$6:$U$136,9,FALSE))</f>
        <v/>
      </c>
      <c r="C129" s="151"/>
      <c r="D129" s="146" t="str">
        <f t="shared" si="12"/>
        <v/>
      </c>
      <c r="E129" s="151"/>
      <c r="F129" s="146" t="str">
        <f t="shared" si="13"/>
        <v/>
      </c>
      <c r="G129" s="186"/>
      <c r="H129" s="146" t="str">
        <f t="shared" si="14"/>
        <v/>
      </c>
      <c r="I129" s="185"/>
      <c r="J129" s="185"/>
      <c r="K129" s="185"/>
      <c r="M129" s="141" t="str">
        <f t="shared" si="15"/>
        <v/>
      </c>
      <c r="N129" s="141" t="str">
        <f t="shared" si="16"/>
        <v/>
      </c>
      <c r="R129" s="141">
        <v>5472</v>
      </c>
      <c r="S129" s="141" t="s">
        <v>775</v>
      </c>
      <c r="U129" s="141" t="str">
        <f t="shared" si="21"/>
        <v>54</v>
      </c>
      <c r="V129" s="141" t="str">
        <f t="shared" si="22"/>
        <v>547</v>
      </c>
      <c r="X129" t="s">
        <v>1348</v>
      </c>
      <c r="Y129" t="s">
        <v>1349</v>
      </c>
    </row>
    <row r="130" spans="1:25">
      <c r="A130" s="145" t="str">
        <f>IF(C130="","",VLOOKUP('Opći dio'!$C$3,'Opći dio'!$L$6:$U$136,10,FALSE))</f>
        <v/>
      </c>
      <c r="B130" s="145" t="str">
        <f>IF(C130="","",VLOOKUP('Opći dio'!$C$3,'Opći dio'!$L$6:$U$136,9,FALSE))</f>
        <v/>
      </c>
      <c r="C130" s="151"/>
      <c r="D130" s="146" t="str">
        <f t="shared" si="12"/>
        <v/>
      </c>
      <c r="E130" s="151"/>
      <c r="F130" s="146" t="str">
        <f t="shared" si="13"/>
        <v/>
      </c>
      <c r="G130" s="186"/>
      <c r="H130" s="146" t="str">
        <f t="shared" si="14"/>
        <v/>
      </c>
      <c r="I130" s="185"/>
      <c r="J130" s="185"/>
      <c r="K130" s="185"/>
      <c r="M130" s="141" t="str">
        <f t="shared" si="15"/>
        <v/>
      </c>
      <c r="N130" s="141" t="str">
        <f t="shared" si="16"/>
        <v/>
      </c>
      <c r="X130" t="s">
        <v>1350</v>
      </c>
      <c r="Y130" t="s">
        <v>1351</v>
      </c>
    </row>
    <row r="131" spans="1:25">
      <c r="A131" s="145" t="str">
        <f>IF(C131="","",VLOOKUP('Opći dio'!$C$3,'Opći dio'!$L$6:$U$136,10,FALSE))</f>
        <v/>
      </c>
      <c r="B131" s="145" t="str">
        <f>IF(C131="","",VLOOKUP('Opći dio'!$C$3,'Opći dio'!$L$6:$U$136,9,FALSE))</f>
        <v/>
      </c>
      <c r="C131" s="151"/>
      <c r="D131" s="146" t="str">
        <f t="shared" si="12"/>
        <v/>
      </c>
      <c r="E131" s="151"/>
      <c r="F131" s="146" t="str">
        <f t="shared" si="13"/>
        <v/>
      </c>
      <c r="G131" s="186"/>
      <c r="H131" s="146" t="str">
        <f t="shared" si="14"/>
        <v/>
      </c>
      <c r="I131" s="185"/>
      <c r="J131" s="185"/>
      <c r="K131" s="185"/>
      <c r="M131" s="141" t="str">
        <f t="shared" si="15"/>
        <v/>
      </c>
      <c r="N131" s="141" t="str">
        <f t="shared" si="16"/>
        <v/>
      </c>
      <c r="X131" t="s">
        <v>1352</v>
      </c>
      <c r="Y131" t="s">
        <v>813</v>
      </c>
    </row>
    <row r="132" spans="1:25">
      <c r="A132" s="145" t="str">
        <f>IF(C132="","",VLOOKUP('Opći dio'!$C$3,'Opći dio'!$L$6:$U$136,10,FALSE))</f>
        <v/>
      </c>
      <c r="B132" s="145" t="str">
        <f>IF(C132="","",VLOOKUP('Opći dio'!$C$3,'Opći dio'!$L$6:$U$136,9,FALSE))</f>
        <v/>
      </c>
      <c r="C132" s="151"/>
      <c r="D132" s="146" t="str">
        <f t="shared" ref="D132:D195" si="23">IFERROR(VLOOKUP(C132,$O$6:$P$23,2,FALSE),"")</f>
        <v/>
      </c>
      <c r="E132" s="151"/>
      <c r="F132" s="146" t="str">
        <f t="shared" ref="F132:F195" si="24">IFERROR(VLOOKUP(E132,$R$5:$T$129,2,FALSE),"")</f>
        <v/>
      </c>
      <c r="G132" s="186"/>
      <c r="H132" s="146" t="str">
        <f t="shared" ref="H132:H195" si="25">IFERROR(VLOOKUP(G132,$X$6:$Y$200,2,FALSE),"")</f>
        <v/>
      </c>
      <c r="I132" s="185"/>
      <c r="J132" s="185"/>
      <c r="K132" s="185"/>
      <c r="M132" s="141" t="str">
        <f t="shared" ref="M132:M195" si="26">LEFT(E132,3)</f>
        <v/>
      </c>
      <c r="N132" s="141" t="str">
        <f t="shared" ref="N132:N195" si="27">LEFT(E132,2)</f>
        <v/>
      </c>
      <c r="X132" t="s">
        <v>1353</v>
      </c>
      <c r="Y132" t="s">
        <v>1354</v>
      </c>
    </row>
    <row r="133" spans="1:25">
      <c r="A133" s="145" t="str">
        <f>IF(C133="","",VLOOKUP('Opći dio'!$C$3,'Opći dio'!$L$6:$U$136,10,FALSE))</f>
        <v/>
      </c>
      <c r="B133" s="145" t="str">
        <f>IF(C133="","",VLOOKUP('Opći dio'!$C$3,'Opći dio'!$L$6:$U$136,9,FALSE))</f>
        <v/>
      </c>
      <c r="C133" s="151"/>
      <c r="D133" s="146" t="str">
        <f t="shared" si="23"/>
        <v/>
      </c>
      <c r="E133" s="151"/>
      <c r="F133" s="146" t="str">
        <f t="shared" si="24"/>
        <v/>
      </c>
      <c r="G133" s="186"/>
      <c r="H133" s="146" t="str">
        <f t="shared" si="25"/>
        <v/>
      </c>
      <c r="I133" s="185"/>
      <c r="J133" s="185"/>
      <c r="K133" s="185"/>
      <c r="M133" s="141" t="str">
        <f t="shared" si="26"/>
        <v/>
      </c>
      <c r="N133" s="141" t="str">
        <f t="shared" si="27"/>
        <v/>
      </c>
      <c r="X133" t="s">
        <v>1355</v>
      </c>
      <c r="Y133" t="s">
        <v>1356</v>
      </c>
    </row>
    <row r="134" spans="1:25">
      <c r="A134" s="145" t="str">
        <f>IF(C134="","",VLOOKUP('Opći dio'!$C$3,'Opći dio'!$L$6:$U$136,10,FALSE))</f>
        <v/>
      </c>
      <c r="B134" s="145" t="str">
        <f>IF(C134="","",VLOOKUP('Opći dio'!$C$3,'Opći dio'!$L$6:$U$136,9,FALSE))</f>
        <v/>
      </c>
      <c r="C134" s="151"/>
      <c r="D134" s="146" t="str">
        <f t="shared" si="23"/>
        <v/>
      </c>
      <c r="E134" s="151"/>
      <c r="F134" s="146" t="str">
        <f t="shared" si="24"/>
        <v/>
      </c>
      <c r="G134" s="186"/>
      <c r="H134" s="146" t="str">
        <f t="shared" si="25"/>
        <v/>
      </c>
      <c r="I134" s="185"/>
      <c r="J134" s="185"/>
      <c r="K134" s="185"/>
      <c r="M134" s="141" t="str">
        <f t="shared" si="26"/>
        <v/>
      </c>
      <c r="N134" s="141" t="str">
        <f t="shared" si="27"/>
        <v/>
      </c>
      <c r="X134" t="s">
        <v>1359</v>
      </c>
      <c r="Y134" t="s">
        <v>1360</v>
      </c>
    </row>
    <row r="135" spans="1:25">
      <c r="A135" s="145" t="str">
        <f>IF(C135="","",VLOOKUP('Opći dio'!$C$3,'Opći dio'!$L$6:$U$136,10,FALSE))</f>
        <v/>
      </c>
      <c r="B135" s="145" t="str">
        <f>IF(C135="","",VLOOKUP('Opći dio'!$C$3,'Opći dio'!$L$6:$U$136,9,FALSE))</f>
        <v/>
      </c>
      <c r="C135" s="151"/>
      <c r="D135" s="146" t="str">
        <f t="shared" si="23"/>
        <v/>
      </c>
      <c r="E135" s="151"/>
      <c r="F135" s="146" t="str">
        <f t="shared" si="24"/>
        <v/>
      </c>
      <c r="G135" s="186"/>
      <c r="H135" s="146" t="str">
        <f t="shared" si="25"/>
        <v/>
      </c>
      <c r="I135" s="185"/>
      <c r="J135" s="185"/>
      <c r="K135" s="185"/>
      <c r="M135" s="141" t="str">
        <f t="shared" si="26"/>
        <v/>
      </c>
      <c r="N135" s="141" t="str">
        <f t="shared" si="27"/>
        <v/>
      </c>
      <c r="X135" t="s">
        <v>1361</v>
      </c>
      <c r="Y135" t="s">
        <v>2082</v>
      </c>
    </row>
    <row r="136" spans="1:25">
      <c r="A136" s="145" t="str">
        <f>IF(C136="","",VLOOKUP('Opći dio'!$C$3,'Opći dio'!$L$6:$U$136,10,FALSE))</f>
        <v/>
      </c>
      <c r="B136" s="145" t="str">
        <f>IF(C136="","",VLOOKUP('Opći dio'!$C$3,'Opći dio'!$L$6:$U$136,9,FALSE))</f>
        <v/>
      </c>
      <c r="C136" s="151"/>
      <c r="D136" s="146" t="str">
        <f t="shared" si="23"/>
        <v/>
      </c>
      <c r="E136" s="151"/>
      <c r="F136" s="146" t="str">
        <f t="shared" si="24"/>
        <v/>
      </c>
      <c r="G136" s="186"/>
      <c r="H136" s="146" t="str">
        <f t="shared" si="25"/>
        <v/>
      </c>
      <c r="I136" s="185"/>
      <c r="J136" s="185"/>
      <c r="K136" s="185"/>
      <c r="M136" s="141" t="str">
        <f t="shared" si="26"/>
        <v/>
      </c>
      <c r="N136" s="141" t="str">
        <f t="shared" si="27"/>
        <v/>
      </c>
      <c r="X136" t="s">
        <v>1362</v>
      </c>
      <c r="Y136" t="s">
        <v>1363</v>
      </c>
    </row>
    <row r="137" spans="1:25">
      <c r="A137" s="145" t="str">
        <f>IF(C137="","",VLOOKUP('Opći dio'!$C$3,'Opći dio'!$L$6:$U$136,10,FALSE))</f>
        <v/>
      </c>
      <c r="B137" s="145" t="str">
        <f>IF(C137="","",VLOOKUP('Opći dio'!$C$3,'Opći dio'!$L$6:$U$136,9,FALSE))</f>
        <v/>
      </c>
      <c r="C137" s="151"/>
      <c r="D137" s="146" t="str">
        <f t="shared" si="23"/>
        <v/>
      </c>
      <c r="E137" s="151"/>
      <c r="F137" s="146" t="str">
        <f t="shared" si="24"/>
        <v/>
      </c>
      <c r="G137" s="186"/>
      <c r="H137" s="146" t="str">
        <f t="shared" si="25"/>
        <v/>
      </c>
      <c r="I137" s="185"/>
      <c r="J137" s="185"/>
      <c r="K137" s="185"/>
      <c r="M137" s="141" t="str">
        <f t="shared" si="26"/>
        <v/>
      </c>
      <c r="N137" s="141" t="str">
        <f t="shared" si="27"/>
        <v/>
      </c>
      <c r="X137" t="s">
        <v>1364</v>
      </c>
      <c r="Y137" t="s">
        <v>1365</v>
      </c>
    </row>
    <row r="138" spans="1:25">
      <c r="A138" s="145" t="str">
        <f>IF(C138="","",VLOOKUP('Opći dio'!$C$3,'Opći dio'!$L$6:$U$136,10,FALSE))</f>
        <v/>
      </c>
      <c r="B138" s="145" t="str">
        <f>IF(C138="","",VLOOKUP('Opći dio'!$C$3,'Opći dio'!$L$6:$U$136,9,FALSE))</f>
        <v/>
      </c>
      <c r="C138" s="151"/>
      <c r="D138" s="146" t="str">
        <f t="shared" si="23"/>
        <v/>
      </c>
      <c r="E138" s="151"/>
      <c r="F138" s="146" t="str">
        <f t="shared" si="24"/>
        <v/>
      </c>
      <c r="G138" s="186"/>
      <c r="H138" s="146" t="str">
        <f t="shared" si="25"/>
        <v/>
      </c>
      <c r="I138" s="185"/>
      <c r="J138" s="185"/>
      <c r="K138" s="185"/>
      <c r="M138" s="141" t="str">
        <f t="shared" si="26"/>
        <v/>
      </c>
      <c r="N138" s="141" t="str">
        <f t="shared" si="27"/>
        <v/>
      </c>
      <c r="X138" t="s">
        <v>1366</v>
      </c>
      <c r="Y138" t="s">
        <v>1367</v>
      </c>
    </row>
    <row r="139" spans="1:25">
      <c r="A139" s="145" t="str">
        <f>IF(C139="","",VLOOKUP('Opći dio'!$C$3,'Opći dio'!$L$6:$U$136,10,FALSE))</f>
        <v/>
      </c>
      <c r="B139" s="145" t="str">
        <f>IF(C139="","",VLOOKUP('Opći dio'!$C$3,'Opći dio'!$L$6:$U$136,9,FALSE))</f>
        <v/>
      </c>
      <c r="C139" s="151"/>
      <c r="D139" s="146" t="str">
        <f t="shared" si="23"/>
        <v/>
      </c>
      <c r="E139" s="151"/>
      <c r="F139" s="146" t="str">
        <f t="shared" si="24"/>
        <v/>
      </c>
      <c r="G139" s="186"/>
      <c r="H139" s="146" t="str">
        <f t="shared" si="25"/>
        <v/>
      </c>
      <c r="I139" s="185"/>
      <c r="J139" s="185"/>
      <c r="K139" s="185"/>
      <c r="M139" s="141" t="str">
        <f t="shared" si="26"/>
        <v/>
      </c>
      <c r="N139" s="141" t="str">
        <f t="shared" si="27"/>
        <v/>
      </c>
      <c r="X139" t="s">
        <v>1368</v>
      </c>
      <c r="Y139" t="s">
        <v>1369</v>
      </c>
    </row>
    <row r="140" spans="1:25">
      <c r="A140" s="145" t="str">
        <f>IF(C140="","",VLOOKUP('Opći dio'!$C$3,'Opći dio'!$L$6:$U$136,10,FALSE))</f>
        <v/>
      </c>
      <c r="B140" s="145" t="str">
        <f>IF(C140="","",VLOOKUP('Opći dio'!$C$3,'Opći dio'!$L$6:$U$136,9,FALSE))</f>
        <v/>
      </c>
      <c r="C140" s="151"/>
      <c r="D140" s="146" t="str">
        <f t="shared" si="23"/>
        <v/>
      </c>
      <c r="E140" s="151"/>
      <c r="F140" s="146" t="str">
        <f t="shared" si="24"/>
        <v/>
      </c>
      <c r="G140" s="186"/>
      <c r="H140" s="146" t="str">
        <f t="shared" si="25"/>
        <v/>
      </c>
      <c r="I140" s="185"/>
      <c r="J140" s="185"/>
      <c r="K140" s="185"/>
      <c r="M140" s="141" t="str">
        <f t="shared" si="26"/>
        <v/>
      </c>
      <c r="N140" s="141" t="str">
        <f t="shared" si="27"/>
        <v/>
      </c>
      <c r="X140" t="s">
        <v>1370</v>
      </c>
      <c r="Y140" t="s">
        <v>1371</v>
      </c>
    </row>
    <row r="141" spans="1:25">
      <c r="A141" s="145" t="str">
        <f>IF(C141="","",VLOOKUP('Opći dio'!$C$3,'Opći dio'!$L$6:$U$136,10,FALSE))</f>
        <v/>
      </c>
      <c r="B141" s="145" t="str">
        <f>IF(C141="","",VLOOKUP('Opći dio'!$C$3,'Opći dio'!$L$6:$U$136,9,FALSE))</f>
        <v/>
      </c>
      <c r="C141" s="151"/>
      <c r="D141" s="146" t="str">
        <f t="shared" si="23"/>
        <v/>
      </c>
      <c r="E141" s="151"/>
      <c r="F141" s="146" t="str">
        <f t="shared" si="24"/>
        <v/>
      </c>
      <c r="G141" s="186"/>
      <c r="H141" s="146" t="str">
        <f t="shared" si="25"/>
        <v/>
      </c>
      <c r="I141" s="185"/>
      <c r="J141" s="185"/>
      <c r="K141" s="185"/>
      <c r="M141" s="141" t="str">
        <f t="shared" si="26"/>
        <v/>
      </c>
      <c r="N141" s="141" t="str">
        <f t="shared" si="27"/>
        <v/>
      </c>
      <c r="X141" t="s">
        <v>1372</v>
      </c>
      <c r="Y141" t="s">
        <v>1373</v>
      </c>
    </row>
    <row r="142" spans="1:25">
      <c r="A142" s="145" t="str">
        <f>IF(C142="","",VLOOKUP('Opći dio'!$C$3,'Opći dio'!$L$6:$U$136,10,FALSE))</f>
        <v/>
      </c>
      <c r="B142" s="145" t="str">
        <f>IF(C142="","",VLOOKUP('Opći dio'!$C$3,'Opći dio'!$L$6:$U$136,9,FALSE))</f>
        <v/>
      </c>
      <c r="C142" s="151"/>
      <c r="D142" s="146" t="str">
        <f t="shared" si="23"/>
        <v/>
      </c>
      <c r="E142" s="151"/>
      <c r="F142" s="146" t="str">
        <f t="shared" si="24"/>
        <v/>
      </c>
      <c r="G142" s="186"/>
      <c r="H142" s="146" t="str">
        <f t="shared" si="25"/>
        <v/>
      </c>
      <c r="I142" s="185"/>
      <c r="J142" s="185"/>
      <c r="K142" s="185"/>
      <c r="M142" s="141" t="str">
        <f t="shared" si="26"/>
        <v/>
      </c>
      <c r="N142" s="141" t="str">
        <f t="shared" si="27"/>
        <v/>
      </c>
      <c r="X142" t="s">
        <v>1376</v>
      </c>
      <c r="Y142" t="s">
        <v>1377</v>
      </c>
    </row>
    <row r="143" spans="1:25">
      <c r="A143" s="145" t="str">
        <f>IF(C143="","",VLOOKUP('Opći dio'!$C$3,'Opći dio'!$L$6:$U$136,10,FALSE))</f>
        <v/>
      </c>
      <c r="B143" s="145" t="str">
        <f>IF(C143="","",VLOOKUP('Opći dio'!$C$3,'Opći dio'!$L$6:$U$136,9,FALSE))</f>
        <v/>
      </c>
      <c r="C143" s="151"/>
      <c r="D143" s="146" t="str">
        <f t="shared" si="23"/>
        <v/>
      </c>
      <c r="E143" s="151"/>
      <c r="F143" s="146" t="str">
        <f t="shared" si="24"/>
        <v/>
      </c>
      <c r="G143" s="186"/>
      <c r="H143" s="146" t="str">
        <f t="shared" si="25"/>
        <v/>
      </c>
      <c r="I143" s="185"/>
      <c r="J143" s="185"/>
      <c r="K143" s="185"/>
      <c r="M143" s="141" t="str">
        <f t="shared" si="26"/>
        <v/>
      </c>
      <c r="N143" s="141" t="str">
        <f t="shared" si="27"/>
        <v/>
      </c>
      <c r="X143" t="s">
        <v>1374</v>
      </c>
      <c r="Y143" t="s">
        <v>1375</v>
      </c>
    </row>
    <row r="144" spans="1:25">
      <c r="A144" s="145" t="str">
        <f>IF(C144="","",VLOOKUP('Opći dio'!$C$3,'Opći dio'!$L$6:$U$136,10,FALSE))</f>
        <v/>
      </c>
      <c r="B144" s="145" t="str">
        <f>IF(C144="","",VLOOKUP('Opći dio'!$C$3,'Opći dio'!$L$6:$U$136,9,FALSE))</f>
        <v/>
      </c>
      <c r="C144" s="151"/>
      <c r="D144" s="146" t="str">
        <f t="shared" si="23"/>
        <v/>
      </c>
      <c r="E144" s="151"/>
      <c r="F144" s="146" t="str">
        <f t="shared" si="24"/>
        <v/>
      </c>
      <c r="G144" s="186"/>
      <c r="H144" s="146" t="str">
        <f t="shared" si="25"/>
        <v/>
      </c>
      <c r="I144" s="185"/>
      <c r="J144" s="185"/>
      <c r="K144" s="185"/>
      <c r="M144" s="141" t="str">
        <f t="shared" si="26"/>
        <v/>
      </c>
      <c r="N144" s="141" t="str">
        <f t="shared" si="27"/>
        <v/>
      </c>
      <c r="X144" t="s">
        <v>1380</v>
      </c>
      <c r="Y144" t="s">
        <v>1381</v>
      </c>
    </row>
    <row r="145" spans="1:25">
      <c r="A145" s="145" t="str">
        <f>IF(C145="","",VLOOKUP('Opći dio'!$C$3,'Opći dio'!$L$6:$U$136,10,FALSE))</f>
        <v/>
      </c>
      <c r="B145" s="145" t="str">
        <f>IF(C145="","",VLOOKUP('Opći dio'!$C$3,'Opći dio'!$L$6:$U$136,9,FALSE))</f>
        <v/>
      </c>
      <c r="C145" s="151"/>
      <c r="D145" s="146" t="str">
        <f t="shared" si="23"/>
        <v/>
      </c>
      <c r="E145" s="151"/>
      <c r="F145" s="146" t="str">
        <f t="shared" si="24"/>
        <v/>
      </c>
      <c r="G145" s="186"/>
      <c r="H145" s="146" t="str">
        <f t="shared" si="25"/>
        <v/>
      </c>
      <c r="I145" s="185"/>
      <c r="J145" s="185"/>
      <c r="K145" s="185"/>
      <c r="M145" s="141" t="str">
        <f t="shared" si="26"/>
        <v/>
      </c>
      <c r="N145" s="141" t="str">
        <f t="shared" si="27"/>
        <v/>
      </c>
      <c r="X145" t="s">
        <v>1382</v>
      </c>
      <c r="Y145" t="s">
        <v>1383</v>
      </c>
    </row>
    <row r="146" spans="1:25">
      <c r="A146" s="145" t="str">
        <f>IF(C146="","",VLOOKUP('Opći dio'!$C$3,'Opći dio'!$L$6:$U$136,10,FALSE))</f>
        <v/>
      </c>
      <c r="B146" s="145" t="str">
        <f>IF(C146="","",VLOOKUP('Opći dio'!$C$3,'Opći dio'!$L$6:$U$136,9,FALSE))</f>
        <v/>
      </c>
      <c r="C146" s="151"/>
      <c r="D146" s="146" t="str">
        <f t="shared" si="23"/>
        <v/>
      </c>
      <c r="E146" s="151"/>
      <c r="F146" s="146" t="str">
        <f t="shared" si="24"/>
        <v/>
      </c>
      <c r="G146" s="186"/>
      <c r="H146" s="146" t="str">
        <f t="shared" si="25"/>
        <v/>
      </c>
      <c r="I146" s="185"/>
      <c r="J146" s="185"/>
      <c r="K146" s="185"/>
      <c r="M146" s="141" t="str">
        <f t="shared" si="26"/>
        <v/>
      </c>
      <c r="N146" s="141" t="str">
        <f t="shared" si="27"/>
        <v/>
      </c>
      <c r="X146" t="s">
        <v>1384</v>
      </c>
      <c r="Y146" t="s">
        <v>1385</v>
      </c>
    </row>
    <row r="147" spans="1:25">
      <c r="A147" s="145" t="str">
        <f>IF(C147="","",VLOOKUP('Opći dio'!$C$3,'Opći dio'!$L$6:$U$136,10,FALSE))</f>
        <v/>
      </c>
      <c r="B147" s="145" t="str">
        <f>IF(C147="","",VLOOKUP('Opći dio'!$C$3,'Opći dio'!$L$6:$U$136,9,FALSE))</f>
        <v/>
      </c>
      <c r="C147" s="151"/>
      <c r="D147" s="146" t="str">
        <f t="shared" si="23"/>
        <v/>
      </c>
      <c r="E147" s="151"/>
      <c r="F147" s="146" t="str">
        <f t="shared" si="24"/>
        <v/>
      </c>
      <c r="G147" s="186"/>
      <c r="H147" s="146" t="str">
        <f t="shared" si="25"/>
        <v/>
      </c>
      <c r="I147" s="185"/>
      <c r="J147" s="185"/>
      <c r="K147" s="185"/>
      <c r="M147" s="141" t="str">
        <f t="shared" si="26"/>
        <v/>
      </c>
      <c r="N147" s="141" t="str">
        <f t="shared" si="27"/>
        <v/>
      </c>
      <c r="X147" t="s">
        <v>1386</v>
      </c>
      <c r="Y147" t="s">
        <v>1387</v>
      </c>
    </row>
    <row r="148" spans="1:25">
      <c r="A148" s="145" t="str">
        <f>IF(C148="","",VLOOKUP('Opći dio'!$C$3,'Opći dio'!$L$6:$U$136,10,FALSE))</f>
        <v/>
      </c>
      <c r="B148" s="145" t="str">
        <f>IF(C148="","",VLOOKUP('Opći dio'!$C$3,'Opći dio'!$L$6:$U$136,9,FALSE))</f>
        <v/>
      </c>
      <c r="C148" s="151"/>
      <c r="D148" s="146" t="str">
        <f t="shared" si="23"/>
        <v/>
      </c>
      <c r="E148" s="151"/>
      <c r="F148" s="146" t="str">
        <f t="shared" si="24"/>
        <v/>
      </c>
      <c r="G148" s="186"/>
      <c r="H148" s="146" t="str">
        <f t="shared" si="25"/>
        <v/>
      </c>
      <c r="I148" s="185"/>
      <c r="J148" s="185"/>
      <c r="K148" s="185"/>
      <c r="M148" s="141" t="str">
        <f t="shared" si="26"/>
        <v/>
      </c>
      <c r="N148" s="141" t="str">
        <f t="shared" si="27"/>
        <v/>
      </c>
      <c r="X148" t="s">
        <v>1388</v>
      </c>
      <c r="Y148" t="s">
        <v>1389</v>
      </c>
    </row>
    <row r="149" spans="1:25">
      <c r="A149" s="145" t="str">
        <f>IF(C149="","",VLOOKUP('Opći dio'!$C$3,'Opći dio'!$L$6:$U$136,10,FALSE))</f>
        <v/>
      </c>
      <c r="B149" s="145" t="str">
        <f>IF(C149="","",VLOOKUP('Opći dio'!$C$3,'Opći dio'!$L$6:$U$136,9,FALSE))</f>
        <v/>
      </c>
      <c r="C149" s="151"/>
      <c r="D149" s="146" t="str">
        <f t="shared" si="23"/>
        <v/>
      </c>
      <c r="E149" s="151"/>
      <c r="F149" s="146" t="str">
        <f t="shared" si="24"/>
        <v/>
      </c>
      <c r="G149" s="186"/>
      <c r="H149" s="146" t="str">
        <f t="shared" si="25"/>
        <v/>
      </c>
      <c r="I149" s="185"/>
      <c r="J149" s="185"/>
      <c r="K149" s="185"/>
      <c r="M149" s="141" t="str">
        <f t="shared" si="26"/>
        <v/>
      </c>
      <c r="N149" s="141" t="str">
        <f t="shared" si="27"/>
        <v/>
      </c>
      <c r="X149" t="s">
        <v>1390</v>
      </c>
      <c r="Y149" t="s">
        <v>1391</v>
      </c>
    </row>
    <row r="150" spans="1:25">
      <c r="A150" s="145" t="str">
        <f>IF(C150="","",VLOOKUP('Opći dio'!$C$3,'Opći dio'!$L$6:$U$136,10,FALSE))</f>
        <v/>
      </c>
      <c r="B150" s="145" t="str">
        <f>IF(C150="","",VLOOKUP('Opći dio'!$C$3,'Opći dio'!$L$6:$U$136,9,FALSE))</f>
        <v/>
      </c>
      <c r="C150" s="151"/>
      <c r="D150" s="146" t="str">
        <f t="shared" si="23"/>
        <v/>
      </c>
      <c r="E150" s="151"/>
      <c r="F150" s="146" t="str">
        <f t="shared" si="24"/>
        <v/>
      </c>
      <c r="G150" s="186"/>
      <c r="H150" s="146" t="str">
        <f t="shared" si="25"/>
        <v/>
      </c>
      <c r="I150" s="185"/>
      <c r="J150" s="185"/>
      <c r="K150" s="185"/>
      <c r="M150" s="141" t="str">
        <f t="shared" si="26"/>
        <v/>
      </c>
      <c r="N150" s="141" t="str">
        <f t="shared" si="27"/>
        <v/>
      </c>
      <c r="X150" t="s">
        <v>1392</v>
      </c>
      <c r="Y150" t="s">
        <v>1393</v>
      </c>
    </row>
    <row r="151" spans="1:25">
      <c r="A151" s="145" t="str">
        <f>IF(C151="","",VLOOKUP('Opći dio'!$C$3,'Opći dio'!$L$6:$U$136,10,FALSE))</f>
        <v/>
      </c>
      <c r="B151" s="145" t="str">
        <f>IF(C151="","",VLOOKUP('Opći dio'!$C$3,'Opći dio'!$L$6:$U$136,9,FALSE))</f>
        <v/>
      </c>
      <c r="C151" s="151"/>
      <c r="D151" s="146" t="str">
        <f t="shared" si="23"/>
        <v/>
      </c>
      <c r="E151" s="151"/>
      <c r="F151" s="146" t="str">
        <f t="shared" si="24"/>
        <v/>
      </c>
      <c r="G151" s="186"/>
      <c r="H151" s="146" t="str">
        <f t="shared" si="25"/>
        <v/>
      </c>
      <c r="I151" s="185"/>
      <c r="J151" s="185"/>
      <c r="K151" s="185"/>
      <c r="M151" s="141" t="str">
        <f t="shared" si="26"/>
        <v/>
      </c>
      <c r="N151" s="141" t="str">
        <f t="shared" si="27"/>
        <v/>
      </c>
      <c r="X151" t="s">
        <v>1394</v>
      </c>
      <c r="Y151" t="s">
        <v>1395</v>
      </c>
    </row>
    <row r="152" spans="1:25">
      <c r="A152" s="145" t="str">
        <f>IF(C152="","",VLOOKUP('Opći dio'!$C$3,'Opći dio'!$L$6:$U$136,10,FALSE))</f>
        <v/>
      </c>
      <c r="B152" s="145" t="str">
        <f>IF(C152="","",VLOOKUP('Opći dio'!$C$3,'Opći dio'!$L$6:$U$136,9,FALSE))</f>
        <v/>
      </c>
      <c r="C152" s="151"/>
      <c r="D152" s="146" t="str">
        <f t="shared" si="23"/>
        <v/>
      </c>
      <c r="E152" s="151"/>
      <c r="F152" s="146" t="str">
        <f t="shared" si="24"/>
        <v/>
      </c>
      <c r="G152" s="186"/>
      <c r="H152" s="146" t="str">
        <f t="shared" si="25"/>
        <v/>
      </c>
      <c r="I152" s="185"/>
      <c r="J152" s="185"/>
      <c r="K152" s="185"/>
      <c r="M152" s="141" t="str">
        <f t="shared" si="26"/>
        <v/>
      </c>
      <c r="N152" s="141" t="str">
        <f t="shared" si="27"/>
        <v/>
      </c>
      <c r="X152" t="s">
        <v>1396</v>
      </c>
      <c r="Y152" t="s">
        <v>1397</v>
      </c>
    </row>
    <row r="153" spans="1:25">
      <c r="A153" s="145" t="str">
        <f>IF(C153="","",VLOOKUP('Opći dio'!$C$3,'Opći dio'!$L$6:$U$136,10,FALSE))</f>
        <v/>
      </c>
      <c r="B153" s="145" t="str">
        <f>IF(C153="","",VLOOKUP('Opći dio'!$C$3,'Opći dio'!$L$6:$U$136,9,FALSE))</f>
        <v/>
      </c>
      <c r="C153" s="151"/>
      <c r="D153" s="146" t="str">
        <f t="shared" si="23"/>
        <v/>
      </c>
      <c r="E153" s="151"/>
      <c r="F153" s="146" t="str">
        <f t="shared" si="24"/>
        <v/>
      </c>
      <c r="G153" s="186"/>
      <c r="H153" s="146" t="str">
        <f t="shared" si="25"/>
        <v/>
      </c>
      <c r="I153" s="185"/>
      <c r="J153" s="185"/>
      <c r="K153" s="185"/>
      <c r="M153" s="141" t="str">
        <f t="shared" si="26"/>
        <v/>
      </c>
      <c r="N153" s="141" t="str">
        <f t="shared" si="27"/>
        <v/>
      </c>
      <c r="X153" t="s">
        <v>1398</v>
      </c>
      <c r="Y153" t="s">
        <v>1399</v>
      </c>
    </row>
    <row r="154" spans="1:25">
      <c r="A154" s="145" t="str">
        <f>IF(C154="","",VLOOKUP('Opći dio'!$C$3,'Opći dio'!$L$6:$U$136,10,FALSE))</f>
        <v/>
      </c>
      <c r="B154" s="145" t="str">
        <f>IF(C154="","",VLOOKUP('Opći dio'!$C$3,'Opći dio'!$L$6:$U$136,9,FALSE))</f>
        <v/>
      </c>
      <c r="C154" s="151"/>
      <c r="D154" s="146" t="str">
        <f t="shared" si="23"/>
        <v/>
      </c>
      <c r="E154" s="151"/>
      <c r="F154" s="146" t="str">
        <f t="shared" si="24"/>
        <v/>
      </c>
      <c r="G154" s="186"/>
      <c r="H154" s="146" t="str">
        <f t="shared" si="25"/>
        <v/>
      </c>
      <c r="I154" s="185"/>
      <c r="J154" s="185"/>
      <c r="K154" s="185"/>
      <c r="M154" s="141" t="str">
        <f t="shared" si="26"/>
        <v/>
      </c>
      <c r="N154" s="141" t="str">
        <f t="shared" si="27"/>
        <v/>
      </c>
      <c r="X154" t="s">
        <v>1400</v>
      </c>
      <c r="Y154" t="s">
        <v>2083</v>
      </c>
    </row>
    <row r="155" spans="1:25">
      <c r="A155" s="145" t="str">
        <f>IF(C155="","",VLOOKUP('Opći dio'!$C$3,'Opći dio'!$L$6:$U$136,10,FALSE))</f>
        <v/>
      </c>
      <c r="B155" s="145" t="str">
        <f>IF(C155="","",VLOOKUP('Opći dio'!$C$3,'Opći dio'!$L$6:$U$136,9,FALSE))</f>
        <v/>
      </c>
      <c r="C155" s="151"/>
      <c r="D155" s="146" t="str">
        <f t="shared" si="23"/>
        <v/>
      </c>
      <c r="E155" s="151"/>
      <c r="F155" s="146" t="str">
        <f t="shared" si="24"/>
        <v/>
      </c>
      <c r="G155" s="186"/>
      <c r="H155" s="146" t="str">
        <f t="shared" si="25"/>
        <v/>
      </c>
      <c r="I155" s="185"/>
      <c r="J155" s="185"/>
      <c r="K155" s="185"/>
      <c r="M155" s="141" t="str">
        <f t="shared" si="26"/>
        <v/>
      </c>
      <c r="N155" s="141" t="str">
        <f t="shared" si="27"/>
        <v/>
      </c>
      <c r="X155" t="s">
        <v>1401</v>
      </c>
      <c r="Y155" t="s">
        <v>2084</v>
      </c>
    </row>
    <row r="156" spans="1:25">
      <c r="A156" s="145" t="str">
        <f>IF(C156="","",VLOOKUP('Opći dio'!$C$3,'Opći dio'!$L$6:$U$136,10,FALSE))</f>
        <v/>
      </c>
      <c r="B156" s="145" t="str">
        <f>IF(C156="","",VLOOKUP('Opći dio'!$C$3,'Opći dio'!$L$6:$U$136,9,FALSE))</f>
        <v/>
      </c>
      <c r="C156" s="151"/>
      <c r="D156" s="146" t="str">
        <f t="shared" si="23"/>
        <v/>
      </c>
      <c r="E156" s="151"/>
      <c r="F156" s="146" t="str">
        <f t="shared" si="24"/>
        <v/>
      </c>
      <c r="G156" s="186"/>
      <c r="H156" s="146" t="str">
        <f t="shared" si="25"/>
        <v/>
      </c>
      <c r="I156" s="185"/>
      <c r="J156" s="185"/>
      <c r="K156" s="185"/>
      <c r="M156" s="141" t="str">
        <f t="shared" si="26"/>
        <v/>
      </c>
      <c r="N156" s="141" t="str">
        <f t="shared" si="27"/>
        <v/>
      </c>
      <c r="X156" t="s">
        <v>1402</v>
      </c>
      <c r="Y156" t="s">
        <v>2085</v>
      </c>
    </row>
    <row r="157" spans="1:25">
      <c r="A157" s="145" t="str">
        <f>IF(C157="","",VLOOKUP('Opći dio'!$C$3,'Opći dio'!$L$6:$U$136,10,FALSE))</f>
        <v/>
      </c>
      <c r="B157" s="145" t="str">
        <f>IF(C157="","",VLOOKUP('Opći dio'!$C$3,'Opći dio'!$L$6:$U$136,9,FALSE))</f>
        <v/>
      </c>
      <c r="C157" s="151"/>
      <c r="D157" s="146" t="str">
        <f t="shared" si="23"/>
        <v/>
      </c>
      <c r="E157" s="151"/>
      <c r="F157" s="146" t="str">
        <f t="shared" si="24"/>
        <v/>
      </c>
      <c r="G157" s="186"/>
      <c r="H157" s="146" t="str">
        <f t="shared" si="25"/>
        <v/>
      </c>
      <c r="I157" s="185"/>
      <c r="J157" s="185"/>
      <c r="K157" s="185"/>
      <c r="M157" s="141" t="str">
        <f t="shared" si="26"/>
        <v/>
      </c>
      <c r="N157" s="141" t="str">
        <f t="shared" si="27"/>
        <v/>
      </c>
      <c r="X157" t="s">
        <v>1403</v>
      </c>
      <c r="Y157" t="s">
        <v>1404</v>
      </c>
    </row>
    <row r="158" spans="1:25">
      <c r="A158" s="145" t="str">
        <f>IF(C158="","",VLOOKUP('Opći dio'!$C$3,'Opći dio'!$L$6:$U$136,10,FALSE))</f>
        <v/>
      </c>
      <c r="B158" s="145" t="str">
        <f>IF(C158="","",VLOOKUP('Opći dio'!$C$3,'Opći dio'!$L$6:$U$136,9,FALSE))</f>
        <v/>
      </c>
      <c r="C158" s="151"/>
      <c r="D158" s="146" t="str">
        <f t="shared" si="23"/>
        <v/>
      </c>
      <c r="E158" s="151"/>
      <c r="F158" s="146" t="str">
        <f t="shared" si="24"/>
        <v/>
      </c>
      <c r="G158" s="186"/>
      <c r="H158" s="146" t="str">
        <f t="shared" si="25"/>
        <v/>
      </c>
      <c r="I158" s="185"/>
      <c r="J158" s="185"/>
      <c r="K158" s="185"/>
      <c r="M158" s="141" t="str">
        <f t="shared" si="26"/>
        <v/>
      </c>
      <c r="N158" s="141" t="str">
        <f t="shared" si="27"/>
        <v/>
      </c>
      <c r="X158" t="s">
        <v>1405</v>
      </c>
      <c r="Y158" t="s">
        <v>1406</v>
      </c>
    </row>
    <row r="159" spans="1:25">
      <c r="A159" s="145" t="str">
        <f>IF(C159="","",VLOOKUP('Opći dio'!$C$3,'Opći dio'!$L$6:$U$136,10,FALSE))</f>
        <v/>
      </c>
      <c r="B159" s="145" t="str">
        <f>IF(C159="","",VLOOKUP('Opći dio'!$C$3,'Opći dio'!$L$6:$U$136,9,FALSE))</f>
        <v/>
      </c>
      <c r="C159" s="151"/>
      <c r="D159" s="146" t="str">
        <f t="shared" si="23"/>
        <v/>
      </c>
      <c r="E159" s="151"/>
      <c r="F159" s="146" t="str">
        <f t="shared" si="24"/>
        <v/>
      </c>
      <c r="G159" s="186"/>
      <c r="H159" s="146" t="str">
        <f t="shared" si="25"/>
        <v/>
      </c>
      <c r="I159" s="185"/>
      <c r="J159" s="185"/>
      <c r="K159" s="185"/>
      <c r="M159" s="141" t="str">
        <f t="shared" si="26"/>
        <v/>
      </c>
      <c r="N159" s="141" t="str">
        <f t="shared" si="27"/>
        <v/>
      </c>
      <c r="X159" s="141" t="s">
        <v>1407</v>
      </c>
      <c r="Y159" s="141" t="s">
        <v>2086</v>
      </c>
    </row>
    <row r="160" spans="1:25">
      <c r="A160" s="145" t="str">
        <f>IF(C160="","",VLOOKUP('Opći dio'!$C$3,'Opći dio'!$L$6:$U$136,10,FALSE))</f>
        <v/>
      </c>
      <c r="B160" s="145" t="str">
        <f>IF(C160="","",VLOOKUP('Opći dio'!$C$3,'Opći dio'!$L$6:$U$136,9,FALSE))</f>
        <v/>
      </c>
      <c r="C160" s="151"/>
      <c r="D160" s="146" t="str">
        <f t="shared" si="23"/>
        <v/>
      </c>
      <c r="E160" s="151"/>
      <c r="F160" s="146" t="str">
        <f t="shared" si="24"/>
        <v/>
      </c>
      <c r="G160" s="186"/>
      <c r="H160" s="146" t="str">
        <f t="shared" si="25"/>
        <v/>
      </c>
      <c r="I160" s="185"/>
      <c r="J160" s="185"/>
      <c r="K160" s="185"/>
      <c r="M160" s="141" t="str">
        <f t="shared" si="26"/>
        <v/>
      </c>
      <c r="N160" s="141" t="str">
        <f t="shared" si="27"/>
        <v/>
      </c>
      <c r="X160" s="141" t="s">
        <v>1408</v>
      </c>
      <c r="Y160" s="141" t="s">
        <v>2087</v>
      </c>
    </row>
    <row r="161" spans="1:25">
      <c r="A161" s="145" t="str">
        <f>IF(C161="","",VLOOKUP('Opći dio'!$C$3,'Opći dio'!$L$6:$U$136,10,FALSE))</f>
        <v/>
      </c>
      <c r="B161" s="145" t="str">
        <f>IF(C161="","",VLOOKUP('Opći dio'!$C$3,'Opći dio'!$L$6:$U$136,9,FALSE))</f>
        <v/>
      </c>
      <c r="C161" s="151"/>
      <c r="D161" s="146" t="str">
        <f t="shared" si="23"/>
        <v/>
      </c>
      <c r="E161" s="151"/>
      <c r="F161" s="146" t="str">
        <f t="shared" si="24"/>
        <v/>
      </c>
      <c r="G161" s="186"/>
      <c r="H161" s="146" t="str">
        <f t="shared" si="25"/>
        <v/>
      </c>
      <c r="I161" s="185"/>
      <c r="J161" s="185"/>
      <c r="K161" s="185"/>
      <c r="M161" s="141" t="str">
        <f t="shared" si="26"/>
        <v/>
      </c>
      <c r="N161" s="141" t="str">
        <f t="shared" si="27"/>
        <v/>
      </c>
      <c r="X161" s="141" t="s">
        <v>1409</v>
      </c>
      <c r="Y161" s="141" t="s">
        <v>1410</v>
      </c>
    </row>
    <row r="162" spans="1:25">
      <c r="A162" s="145" t="str">
        <f>IF(C162="","",VLOOKUP('Opći dio'!$C$3,'Opći dio'!$L$6:$U$136,10,FALSE))</f>
        <v/>
      </c>
      <c r="B162" s="145" t="str">
        <f>IF(C162="","",VLOOKUP('Opći dio'!$C$3,'Opći dio'!$L$6:$U$136,9,FALSE))</f>
        <v/>
      </c>
      <c r="C162" s="151"/>
      <c r="D162" s="146" t="str">
        <f t="shared" si="23"/>
        <v/>
      </c>
      <c r="E162" s="151"/>
      <c r="F162" s="146" t="str">
        <f t="shared" si="24"/>
        <v/>
      </c>
      <c r="G162" s="186"/>
      <c r="H162" s="146" t="str">
        <f t="shared" si="25"/>
        <v/>
      </c>
      <c r="I162" s="185"/>
      <c r="J162" s="185"/>
      <c r="K162" s="185"/>
      <c r="M162" s="141" t="str">
        <f t="shared" si="26"/>
        <v/>
      </c>
      <c r="N162" s="141" t="str">
        <f t="shared" si="27"/>
        <v/>
      </c>
      <c r="X162" s="141" t="s">
        <v>1411</v>
      </c>
      <c r="Y162" s="141" t="s">
        <v>1412</v>
      </c>
    </row>
    <row r="163" spans="1:25">
      <c r="A163" s="145" t="str">
        <f>IF(C163="","",VLOOKUP('Opći dio'!$C$3,'Opći dio'!$L$6:$U$136,10,FALSE))</f>
        <v/>
      </c>
      <c r="B163" s="145" t="str">
        <f>IF(C163="","",VLOOKUP('Opći dio'!$C$3,'Opći dio'!$L$6:$U$136,9,FALSE))</f>
        <v/>
      </c>
      <c r="C163" s="151"/>
      <c r="D163" s="146" t="str">
        <f t="shared" si="23"/>
        <v/>
      </c>
      <c r="E163" s="151"/>
      <c r="F163" s="146" t="str">
        <f t="shared" si="24"/>
        <v/>
      </c>
      <c r="G163" s="186"/>
      <c r="H163" s="146" t="str">
        <f t="shared" si="25"/>
        <v/>
      </c>
      <c r="I163" s="185"/>
      <c r="J163" s="185"/>
      <c r="K163" s="185"/>
      <c r="M163" s="141" t="str">
        <f t="shared" si="26"/>
        <v/>
      </c>
      <c r="N163" s="141" t="str">
        <f t="shared" si="27"/>
        <v/>
      </c>
      <c r="X163" s="141" t="s">
        <v>1415</v>
      </c>
      <c r="Y163" s="141" t="s">
        <v>1416</v>
      </c>
    </row>
    <row r="164" spans="1:25">
      <c r="A164" s="145" t="str">
        <f>IF(C164="","",VLOOKUP('Opći dio'!$C$3,'Opći dio'!$L$6:$U$136,10,FALSE))</f>
        <v/>
      </c>
      <c r="B164" s="145" t="str">
        <f>IF(C164="","",VLOOKUP('Opći dio'!$C$3,'Opći dio'!$L$6:$U$136,9,FALSE))</f>
        <v/>
      </c>
      <c r="C164" s="151"/>
      <c r="D164" s="146" t="str">
        <f t="shared" si="23"/>
        <v/>
      </c>
      <c r="E164" s="151"/>
      <c r="F164" s="146" t="str">
        <f t="shared" si="24"/>
        <v/>
      </c>
      <c r="G164" s="186"/>
      <c r="H164" s="146" t="str">
        <f t="shared" si="25"/>
        <v/>
      </c>
      <c r="I164" s="185"/>
      <c r="J164" s="185"/>
      <c r="K164" s="185"/>
      <c r="M164" s="141" t="str">
        <f t="shared" si="26"/>
        <v/>
      </c>
      <c r="N164" s="141" t="str">
        <f t="shared" si="27"/>
        <v/>
      </c>
      <c r="X164" s="141" t="s">
        <v>1417</v>
      </c>
      <c r="Y164" s="141" t="s">
        <v>1418</v>
      </c>
    </row>
    <row r="165" spans="1:25">
      <c r="A165" s="145" t="str">
        <f>IF(C165="","",VLOOKUP('Opći dio'!$C$3,'Opći dio'!$L$6:$U$136,10,FALSE))</f>
        <v/>
      </c>
      <c r="B165" s="145" t="str">
        <f>IF(C165="","",VLOOKUP('Opći dio'!$C$3,'Opći dio'!$L$6:$U$136,9,FALSE))</f>
        <v/>
      </c>
      <c r="C165" s="151"/>
      <c r="D165" s="146" t="str">
        <f t="shared" si="23"/>
        <v/>
      </c>
      <c r="E165" s="151"/>
      <c r="F165" s="146" t="str">
        <f t="shared" si="24"/>
        <v/>
      </c>
      <c r="G165" s="186"/>
      <c r="H165" s="146" t="str">
        <f t="shared" si="25"/>
        <v/>
      </c>
      <c r="I165" s="185"/>
      <c r="J165" s="185"/>
      <c r="K165" s="185"/>
      <c r="M165" s="141" t="str">
        <f t="shared" si="26"/>
        <v/>
      </c>
      <c r="N165" s="141" t="str">
        <f t="shared" si="27"/>
        <v/>
      </c>
      <c r="X165" s="141" t="s">
        <v>1419</v>
      </c>
      <c r="Y165" s="141" t="s">
        <v>1420</v>
      </c>
    </row>
    <row r="166" spans="1:25">
      <c r="A166" s="145" t="str">
        <f>IF(C166="","",VLOOKUP('Opći dio'!$C$3,'Opći dio'!$L$6:$U$136,10,FALSE))</f>
        <v/>
      </c>
      <c r="B166" s="145" t="str">
        <f>IF(C166="","",VLOOKUP('Opći dio'!$C$3,'Opći dio'!$L$6:$U$136,9,FALSE))</f>
        <v/>
      </c>
      <c r="C166" s="151"/>
      <c r="D166" s="146" t="str">
        <f t="shared" si="23"/>
        <v/>
      </c>
      <c r="E166" s="151"/>
      <c r="F166" s="146" t="str">
        <f t="shared" si="24"/>
        <v/>
      </c>
      <c r="G166" s="186"/>
      <c r="H166" s="146" t="str">
        <f t="shared" si="25"/>
        <v/>
      </c>
      <c r="I166" s="185"/>
      <c r="J166" s="185"/>
      <c r="K166" s="185"/>
      <c r="M166" s="141" t="str">
        <f t="shared" si="26"/>
        <v/>
      </c>
      <c r="N166" s="141" t="str">
        <f t="shared" si="27"/>
        <v/>
      </c>
      <c r="X166" s="141" t="s">
        <v>1421</v>
      </c>
      <c r="Y166" s="141" t="s">
        <v>1422</v>
      </c>
    </row>
    <row r="167" spans="1:25">
      <c r="A167" s="145" t="str">
        <f>IF(C167="","",VLOOKUP('Opći dio'!$C$3,'Opći dio'!$L$6:$U$136,10,FALSE))</f>
        <v/>
      </c>
      <c r="B167" s="145" t="str">
        <f>IF(C167="","",VLOOKUP('Opći dio'!$C$3,'Opći dio'!$L$6:$U$136,9,FALSE))</f>
        <v/>
      </c>
      <c r="C167" s="151"/>
      <c r="D167" s="146" t="str">
        <f t="shared" si="23"/>
        <v/>
      </c>
      <c r="E167" s="151"/>
      <c r="F167" s="146" t="str">
        <f t="shared" si="24"/>
        <v/>
      </c>
      <c r="G167" s="186"/>
      <c r="H167" s="146" t="str">
        <f t="shared" si="25"/>
        <v/>
      </c>
      <c r="I167" s="185"/>
      <c r="J167" s="185"/>
      <c r="K167" s="185"/>
      <c r="M167" s="141" t="str">
        <f t="shared" si="26"/>
        <v/>
      </c>
      <c r="N167" s="141" t="str">
        <f t="shared" si="27"/>
        <v/>
      </c>
      <c r="X167" s="141" t="s">
        <v>1423</v>
      </c>
      <c r="Y167" s="141" t="s">
        <v>1424</v>
      </c>
    </row>
    <row r="168" spans="1:25">
      <c r="A168" s="145" t="str">
        <f>IF(C168="","",VLOOKUP('Opći dio'!$C$3,'Opći dio'!$L$6:$U$136,10,FALSE))</f>
        <v/>
      </c>
      <c r="B168" s="145" t="str">
        <f>IF(C168="","",VLOOKUP('Opći dio'!$C$3,'Opći dio'!$L$6:$U$136,9,FALSE))</f>
        <v/>
      </c>
      <c r="C168" s="151"/>
      <c r="D168" s="146" t="str">
        <f t="shared" si="23"/>
        <v/>
      </c>
      <c r="E168" s="151"/>
      <c r="F168" s="146" t="str">
        <f t="shared" si="24"/>
        <v/>
      </c>
      <c r="G168" s="186"/>
      <c r="H168" s="146" t="str">
        <f t="shared" si="25"/>
        <v/>
      </c>
      <c r="I168" s="185"/>
      <c r="J168" s="185"/>
      <c r="K168" s="185"/>
      <c r="M168" s="141" t="str">
        <f t="shared" si="26"/>
        <v/>
      </c>
      <c r="N168" s="141" t="str">
        <f t="shared" si="27"/>
        <v/>
      </c>
      <c r="X168" s="141" t="s">
        <v>1425</v>
      </c>
      <c r="Y168" s="141" t="s">
        <v>1426</v>
      </c>
    </row>
    <row r="169" spans="1:25">
      <c r="A169" s="145" t="str">
        <f>IF(C169="","",VLOOKUP('Opći dio'!$C$3,'Opći dio'!$L$6:$U$136,10,FALSE))</f>
        <v/>
      </c>
      <c r="B169" s="145" t="str">
        <f>IF(C169="","",VLOOKUP('Opći dio'!$C$3,'Opći dio'!$L$6:$U$136,9,FALSE))</f>
        <v/>
      </c>
      <c r="C169" s="151"/>
      <c r="D169" s="146" t="str">
        <f t="shared" si="23"/>
        <v/>
      </c>
      <c r="E169" s="151"/>
      <c r="F169" s="146" t="str">
        <f t="shared" si="24"/>
        <v/>
      </c>
      <c r="G169" s="186"/>
      <c r="H169" s="146" t="str">
        <f t="shared" si="25"/>
        <v/>
      </c>
      <c r="I169" s="185"/>
      <c r="J169" s="185"/>
      <c r="K169" s="185"/>
      <c r="M169" s="141" t="str">
        <f t="shared" si="26"/>
        <v/>
      </c>
      <c r="N169" s="141" t="str">
        <f t="shared" si="27"/>
        <v/>
      </c>
      <c r="X169" s="141" t="s">
        <v>1427</v>
      </c>
      <c r="Y169" s="141" t="s">
        <v>1428</v>
      </c>
    </row>
    <row r="170" spans="1:25">
      <c r="A170" s="145" t="str">
        <f>IF(C170="","",VLOOKUP('Opći dio'!$C$3,'Opći dio'!$L$6:$U$136,10,FALSE))</f>
        <v/>
      </c>
      <c r="B170" s="145" t="str">
        <f>IF(C170="","",VLOOKUP('Opći dio'!$C$3,'Opći dio'!$L$6:$U$136,9,FALSE))</f>
        <v/>
      </c>
      <c r="C170" s="151"/>
      <c r="D170" s="146" t="str">
        <f t="shared" si="23"/>
        <v/>
      </c>
      <c r="E170" s="151"/>
      <c r="F170" s="146" t="str">
        <f t="shared" si="24"/>
        <v/>
      </c>
      <c r="G170" s="186"/>
      <c r="H170" s="146" t="str">
        <f t="shared" si="25"/>
        <v/>
      </c>
      <c r="I170" s="185"/>
      <c r="J170" s="185"/>
      <c r="K170" s="185"/>
      <c r="M170" s="141" t="str">
        <f t="shared" si="26"/>
        <v/>
      </c>
      <c r="N170" s="141" t="str">
        <f t="shared" si="27"/>
        <v/>
      </c>
      <c r="X170" s="141" t="s">
        <v>1429</v>
      </c>
      <c r="Y170" s="141" t="s">
        <v>1430</v>
      </c>
    </row>
    <row r="171" spans="1:25">
      <c r="A171" s="145" t="str">
        <f>IF(C171="","",VLOOKUP('Opći dio'!$C$3,'Opći dio'!$L$6:$U$136,10,FALSE))</f>
        <v/>
      </c>
      <c r="B171" s="145" t="str">
        <f>IF(C171="","",VLOOKUP('Opći dio'!$C$3,'Opći dio'!$L$6:$U$136,9,FALSE))</f>
        <v/>
      </c>
      <c r="C171" s="151"/>
      <c r="D171" s="146" t="str">
        <f t="shared" si="23"/>
        <v/>
      </c>
      <c r="E171" s="151"/>
      <c r="F171" s="146" t="str">
        <f t="shared" si="24"/>
        <v/>
      </c>
      <c r="G171" s="186"/>
      <c r="H171" s="146" t="str">
        <f t="shared" si="25"/>
        <v/>
      </c>
      <c r="I171" s="185"/>
      <c r="J171" s="185"/>
      <c r="K171" s="185"/>
      <c r="M171" s="141" t="str">
        <f t="shared" si="26"/>
        <v/>
      </c>
      <c r="N171" s="141" t="str">
        <f t="shared" si="27"/>
        <v/>
      </c>
      <c r="X171" s="141" t="s">
        <v>1431</v>
      </c>
      <c r="Y171" s="141" t="s">
        <v>1432</v>
      </c>
    </row>
    <row r="172" spans="1:25">
      <c r="A172" s="145" t="str">
        <f>IF(C172="","",VLOOKUP('Opći dio'!$C$3,'Opći dio'!$L$6:$U$136,10,FALSE))</f>
        <v/>
      </c>
      <c r="B172" s="145" t="str">
        <f>IF(C172="","",VLOOKUP('Opći dio'!$C$3,'Opći dio'!$L$6:$U$136,9,FALSE))</f>
        <v/>
      </c>
      <c r="C172" s="151"/>
      <c r="D172" s="146" t="str">
        <f t="shared" si="23"/>
        <v/>
      </c>
      <c r="E172" s="151"/>
      <c r="F172" s="146" t="str">
        <f t="shared" si="24"/>
        <v/>
      </c>
      <c r="G172" s="186"/>
      <c r="H172" s="146" t="str">
        <f t="shared" si="25"/>
        <v/>
      </c>
      <c r="I172" s="185"/>
      <c r="J172" s="185"/>
      <c r="K172" s="185"/>
      <c r="M172" s="141" t="str">
        <f t="shared" si="26"/>
        <v/>
      </c>
      <c r="N172" s="141" t="str">
        <f t="shared" si="27"/>
        <v/>
      </c>
      <c r="X172" s="141" t="s">
        <v>1433</v>
      </c>
      <c r="Y172" s="141" t="s">
        <v>1434</v>
      </c>
    </row>
    <row r="173" spans="1:25">
      <c r="A173" s="145" t="str">
        <f>IF(C173="","",VLOOKUP('Opći dio'!$C$3,'Opći dio'!$L$6:$U$136,10,FALSE))</f>
        <v/>
      </c>
      <c r="B173" s="145" t="str">
        <f>IF(C173="","",VLOOKUP('Opći dio'!$C$3,'Opći dio'!$L$6:$U$136,9,FALSE))</f>
        <v/>
      </c>
      <c r="C173" s="151"/>
      <c r="D173" s="146" t="str">
        <f t="shared" si="23"/>
        <v/>
      </c>
      <c r="E173" s="151"/>
      <c r="F173" s="146" t="str">
        <f t="shared" si="24"/>
        <v/>
      </c>
      <c r="G173" s="186"/>
      <c r="H173" s="146" t="str">
        <f t="shared" si="25"/>
        <v/>
      </c>
      <c r="I173" s="185"/>
      <c r="J173" s="185"/>
      <c r="K173" s="185"/>
      <c r="M173" s="141" t="str">
        <f t="shared" si="26"/>
        <v/>
      </c>
      <c r="N173" s="141" t="str">
        <f t="shared" si="27"/>
        <v/>
      </c>
      <c r="X173" s="141" t="s">
        <v>1435</v>
      </c>
      <c r="Y173" s="141" t="s">
        <v>1436</v>
      </c>
    </row>
    <row r="174" spans="1:25">
      <c r="A174" s="145" t="str">
        <f>IF(C174="","",VLOOKUP('Opći dio'!$C$3,'Opći dio'!$L$6:$U$136,10,FALSE))</f>
        <v/>
      </c>
      <c r="B174" s="145" t="str">
        <f>IF(C174="","",VLOOKUP('Opći dio'!$C$3,'Opći dio'!$L$6:$U$136,9,FALSE))</f>
        <v/>
      </c>
      <c r="C174" s="151"/>
      <c r="D174" s="146" t="str">
        <f t="shared" si="23"/>
        <v/>
      </c>
      <c r="E174" s="151"/>
      <c r="F174" s="146" t="str">
        <f t="shared" si="24"/>
        <v/>
      </c>
      <c r="G174" s="186"/>
      <c r="H174" s="146" t="str">
        <f t="shared" si="25"/>
        <v/>
      </c>
      <c r="I174" s="185"/>
      <c r="J174" s="185"/>
      <c r="K174" s="185"/>
      <c r="M174" s="141" t="str">
        <f t="shared" si="26"/>
        <v/>
      </c>
      <c r="N174" s="141" t="str">
        <f t="shared" si="27"/>
        <v/>
      </c>
      <c r="X174" s="141" t="s">
        <v>1437</v>
      </c>
      <c r="Y174" s="141" t="s">
        <v>1438</v>
      </c>
    </row>
    <row r="175" spans="1:25">
      <c r="A175" s="145" t="str">
        <f>IF(C175="","",VLOOKUP('Opći dio'!$C$3,'Opći dio'!$L$6:$U$136,10,FALSE))</f>
        <v/>
      </c>
      <c r="B175" s="145" t="str">
        <f>IF(C175="","",VLOOKUP('Opći dio'!$C$3,'Opći dio'!$L$6:$U$136,9,FALSE))</f>
        <v/>
      </c>
      <c r="C175" s="151"/>
      <c r="D175" s="146" t="str">
        <f t="shared" si="23"/>
        <v/>
      </c>
      <c r="E175" s="151"/>
      <c r="F175" s="146" t="str">
        <f t="shared" si="24"/>
        <v/>
      </c>
      <c r="G175" s="186"/>
      <c r="H175" s="146" t="str">
        <f t="shared" si="25"/>
        <v/>
      </c>
      <c r="I175" s="185"/>
      <c r="J175" s="185"/>
      <c r="K175" s="185"/>
      <c r="M175" s="141" t="str">
        <f t="shared" si="26"/>
        <v/>
      </c>
      <c r="N175" s="141" t="str">
        <f t="shared" si="27"/>
        <v/>
      </c>
      <c r="X175" s="141" t="s">
        <v>1439</v>
      </c>
      <c r="Y175" s="141" t="s">
        <v>1440</v>
      </c>
    </row>
    <row r="176" spans="1:25">
      <c r="A176" s="145" t="str">
        <f>IF(C176="","",VLOOKUP('Opći dio'!$C$3,'Opći dio'!$L$6:$U$136,10,FALSE))</f>
        <v/>
      </c>
      <c r="B176" s="145" t="str">
        <f>IF(C176="","",VLOOKUP('Opći dio'!$C$3,'Opći dio'!$L$6:$U$136,9,FALSE))</f>
        <v/>
      </c>
      <c r="C176" s="151"/>
      <c r="D176" s="146" t="str">
        <f t="shared" si="23"/>
        <v/>
      </c>
      <c r="E176" s="151"/>
      <c r="F176" s="146" t="str">
        <f t="shared" si="24"/>
        <v/>
      </c>
      <c r="G176" s="186"/>
      <c r="H176" s="146" t="str">
        <f t="shared" si="25"/>
        <v/>
      </c>
      <c r="I176" s="185"/>
      <c r="J176" s="185"/>
      <c r="K176" s="185"/>
      <c r="M176" s="141" t="str">
        <f t="shared" si="26"/>
        <v/>
      </c>
      <c r="N176" s="141" t="str">
        <f t="shared" si="27"/>
        <v/>
      </c>
      <c r="X176" s="141" t="s">
        <v>1441</v>
      </c>
      <c r="Y176" s="141" t="s">
        <v>1442</v>
      </c>
    </row>
    <row r="177" spans="1:25">
      <c r="A177" s="145" t="str">
        <f>IF(C177="","",VLOOKUP('Opći dio'!$C$3,'Opći dio'!$L$6:$U$136,10,FALSE))</f>
        <v/>
      </c>
      <c r="B177" s="145" t="str">
        <f>IF(C177="","",VLOOKUP('Opći dio'!$C$3,'Opći dio'!$L$6:$U$136,9,FALSE))</f>
        <v/>
      </c>
      <c r="C177" s="151"/>
      <c r="D177" s="146" t="str">
        <f t="shared" si="23"/>
        <v/>
      </c>
      <c r="E177" s="151"/>
      <c r="F177" s="146" t="str">
        <f t="shared" si="24"/>
        <v/>
      </c>
      <c r="G177" s="186"/>
      <c r="H177" s="146" t="str">
        <f t="shared" si="25"/>
        <v/>
      </c>
      <c r="I177" s="185"/>
      <c r="J177" s="185"/>
      <c r="K177" s="185"/>
      <c r="M177" s="141" t="str">
        <f t="shared" si="26"/>
        <v/>
      </c>
      <c r="N177" s="141" t="str">
        <f t="shared" si="27"/>
        <v/>
      </c>
      <c r="X177" s="141" t="s">
        <v>1444</v>
      </c>
      <c r="Y177" s="141" t="s">
        <v>1445</v>
      </c>
    </row>
    <row r="178" spans="1:25">
      <c r="A178" s="145" t="str">
        <f>IF(C178="","",VLOOKUP('Opći dio'!$C$3,'Opći dio'!$L$6:$U$136,10,FALSE))</f>
        <v/>
      </c>
      <c r="B178" s="145" t="str">
        <f>IF(C178="","",VLOOKUP('Opći dio'!$C$3,'Opći dio'!$L$6:$U$136,9,FALSE))</f>
        <v/>
      </c>
      <c r="C178" s="151"/>
      <c r="D178" s="146" t="str">
        <f t="shared" si="23"/>
        <v/>
      </c>
      <c r="E178" s="151"/>
      <c r="F178" s="146" t="str">
        <f t="shared" si="24"/>
        <v/>
      </c>
      <c r="G178" s="186"/>
      <c r="H178" s="146" t="str">
        <f t="shared" si="25"/>
        <v/>
      </c>
      <c r="I178" s="185"/>
      <c r="J178" s="185"/>
      <c r="K178" s="185"/>
      <c r="M178" s="141" t="str">
        <f t="shared" si="26"/>
        <v/>
      </c>
      <c r="N178" s="141" t="str">
        <f t="shared" si="27"/>
        <v/>
      </c>
    </row>
    <row r="179" spans="1:25">
      <c r="A179" s="145" t="str">
        <f>IF(C179="","",VLOOKUP('Opći dio'!$C$3,'Opći dio'!$L$6:$U$136,10,FALSE))</f>
        <v/>
      </c>
      <c r="B179" s="145" t="str">
        <f>IF(C179="","",VLOOKUP('Opći dio'!$C$3,'Opći dio'!$L$6:$U$136,9,FALSE))</f>
        <v/>
      </c>
      <c r="C179" s="151"/>
      <c r="D179" s="146" t="str">
        <f t="shared" si="23"/>
        <v/>
      </c>
      <c r="E179" s="151"/>
      <c r="F179" s="146" t="str">
        <f t="shared" si="24"/>
        <v/>
      </c>
      <c r="G179" s="186"/>
      <c r="H179" s="146" t="str">
        <f t="shared" si="25"/>
        <v/>
      </c>
      <c r="I179" s="185"/>
      <c r="J179" s="185"/>
      <c r="K179" s="185"/>
      <c r="M179" s="141" t="str">
        <f t="shared" si="26"/>
        <v/>
      </c>
      <c r="N179" s="141" t="str">
        <f t="shared" si="27"/>
        <v/>
      </c>
    </row>
    <row r="180" spans="1:25">
      <c r="A180" s="145" t="str">
        <f>IF(C180="","",VLOOKUP('Opći dio'!$C$3,'Opći dio'!$L$6:$U$136,10,FALSE))</f>
        <v/>
      </c>
      <c r="B180" s="145" t="str">
        <f>IF(C180="","",VLOOKUP('Opći dio'!$C$3,'Opći dio'!$L$6:$U$136,9,FALSE))</f>
        <v/>
      </c>
      <c r="C180" s="151"/>
      <c r="D180" s="146" t="str">
        <f t="shared" si="23"/>
        <v/>
      </c>
      <c r="E180" s="151"/>
      <c r="F180" s="146" t="str">
        <f t="shared" si="24"/>
        <v/>
      </c>
      <c r="G180" s="186"/>
      <c r="H180" s="146" t="str">
        <f t="shared" si="25"/>
        <v/>
      </c>
      <c r="I180" s="185"/>
      <c r="J180" s="185"/>
      <c r="K180" s="185"/>
      <c r="M180" s="141" t="str">
        <f t="shared" si="26"/>
        <v/>
      </c>
      <c r="N180" s="141" t="str">
        <f t="shared" si="27"/>
        <v/>
      </c>
    </row>
    <row r="181" spans="1:25">
      <c r="A181" s="145" t="str">
        <f>IF(C181="","",VLOOKUP('Opći dio'!$C$3,'Opći dio'!$L$6:$U$136,10,FALSE))</f>
        <v/>
      </c>
      <c r="B181" s="145" t="str">
        <f>IF(C181="","",VLOOKUP('Opći dio'!$C$3,'Opći dio'!$L$6:$U$136,9,FALSE))</f>
        <v/>
      </c>
      <c r="C181" s="151"/>
      <c r="D181" s="146" t="str">
        <f t="shared" si="23"/>
        <v/>
      </c>
      <c r="E181" s="151"/>
      <c r="F181" s="146" t="str">
        <f t="shared" si="24"/>
        <v/>
      </c>
      <c r="G181" s="186"/>
      <c r="H181" s="146" t="str">
        <f t="shared" si="25"/>
        <v/>
      </c>
      <c r="I181" s="185"/>
      <c r="J181" s="185"/>
      <c r="K181" s="185"/>
      <c r="M181" s="141" t="str">
        <f t="shared" si="26"/>
        <v/>
      </c>
      <c r="N181" s="141" t="str">
        <f t="shared" si="27"/>
        <v/>
      </c>
    </row>
    <row r="182" spans="1:25">
      <c r="A182" s="145" t="str">
        <f>IF(C182="","",VLOOKUP('Opći dio'!$C$3,'Opći dio'!$L$6:$U$136,10,FALSE))</f>
        <v/>
      </c>
      <c r="B182" s="145" t="str">
        <f>IF(C182="","",VLOOKUP('Opći dio'!$C$3,'Opći dio'!$L$6:$U$136,9,FALSE))</f>
        <v/>
      </c>
      <c r="C182" s="151"/>
      <c r="D182" s="146" t="str">
        <f t="shared" si="23"/>
        <v/>
      </c>
      <c r="E182" s="151"/>
      <c r="F182" s="146" t="str">
        <f t="shared" si="24"/>
        <v/>
      </c>
      <c r="G182" s="186"/>
      <c r="H182" s="146" t="str">
        <f t="shared" si="25"/>
        <v/>
      </c>
      <c r="I182" s="185"/>
      <c r="J182" s="185"/>
      <c r="K182" s="185"/>
      <c r="M182" s="141" t="str">
        <f t="shared" si="26"/>
        <v/>
      </c>
      <c r="N182" s="141" t="str">
        <f t="shared" si="27"/>
        <v/>
      </c>
    </row>
    <row r="183" spans="1:25">
      <c r="A183" s="145" t="str">
        <f>IF(C183="","",VLOOKUP('Opći dio'!$C$3,'Opći dio'!$L$6:$U$136,10,FALSE))</f>
        <v/>
      </c>
      <c r="B183" s="145" t="str">
        <f>IF(C183="","",VLOOKUP('Opći dio'!$C$3,'Opći dio'!$L$6:$U$136,9,FALSE))</f>
        <v/>
      </c>
      <c r="C183" s="151"/>
      <c r="D183" s="146" t="str">
        <f t="shared" si="23"/>
        <v/>
      </c>
      <c r="E183" s="151"/>
      <c r="F183" s="146" t="str">
        <f t="shared" si="24"/>
        <v/>
      </c>
      <c r="G183" s="186"/>
      <c r="H183" s="146" t="str">
        <f t="shared" si="25"/>
        <v/>
      </c>
      <c r="I183" s="185"/>
      <c r="J183" s="185"/>
      <c r="K183" s="185"/>
      <c r="M183" s="141" t="str">
        <f t="shared" si="26"/>
        <v/>
      </c>
      <c r="N183" s="141" t="str">
        <f t="shared" si="27"/>
        <v/>
      </c>
    </row>
    <row r="184" spans="1:25">
      <c r="A184" s="145" t="str">
        <f>IF(C184="","",VLOOKUP('Opći dio'!$C$3,'Opći dio'!$L$6:$U$136,10,FALSE))</f>
        <v/>
      </c>
      <c r="B184" s="145" t="str">
        <f>IF(C184="","",VLOOKUP('Opći dio'!$C$3,'Opći dio'!$L$6:$U$136,9,FALSE))</f>
        <v/>
      </c>
      <c r="C184" s="151"/>
      <c r="D184" s="146" t="str">
        <f t="shared" si="23"/>
        <v/>
      </c>
      <c r="E184" s="151"/>
      <c r="F184" s="146" t="str">
        <f t="shared" si="24"/>
        <v/>
      </c>
      <c r="G184" s="186"/>
      <c r="H184" s="146" t="str">
        <f t="shared" si="25"/>
        <v/>
      </c>
      <c r="I184" s="185"/>
      <c r="J184" s="185"/>
      <c r="K184" s="185"/>
      <c r="M184" s="141" t="str">
        <f t="shared" si="26"/>
        <v/>
      </c>
      <c r="N184" s="141" t="str">
        <f t="shared" si="27"/>
        <v/>
      </c>
    </row>
    <row r="185" spans="1:25">
      <c r="A185" s="145" t="str">
        <f>IF(C185="","",VLOOKUP('Opći dio'!$C$3,'Opći dio'!$L$6:$U$136,10,FALSE))</f>
        <v/>
      </c>
      <c r="B185" s="145" t="str">
        <f>IF(C185="","",VLOOKUP('Opći dio'!$C$3,'Opći dio'!$L$6:$U$136,9,FALSE))</f>
        <v/>
      </c>
      <c r="C185" s="151"/>
      <c r="D185" s="146" t="str">
        <f t="shared" si="23"/>
        <v/>
      </c>
      <c r="E185" s="151"/>
      <c r="F185" s="146" t="str">
        <f t="shared" si="24"/>
        <v/>
      </c>
      <c r="G185" s="186"/>
      <c r="H185" s="146" t="str">
        <f t="shared" si="25"/>
        <v/>
      </c>
      <c r="I185" s="185"/>
      <c r="J185" s="185"/>
      <c r="K185" s="185"/>
      <c r="M185" s="141" t="str">
        <f t="shared" si="26"/>
        <v/>
      </c>
      <c r="N185" s="141" t="str">
        <f t="shared" si="27"/>
        <v/>
      </c>
    </row>
    <row r="186" spans="1:25">
      <c r="A186" s="145" t="str">
        <f>IF(C186="","",VLOOKUP('Opći dio'!$C$3,'Opći dio'!$L$6:$U$136,10,FALSE))</f>
        <v/>
      </c>
      <c r="B186" s="145" t="str">
        <f>IF(C186="","",VLOOKUP('Opći dio'!$C$3,'Opći dio'!$L$6:$U$136,9,FALSE))</f>
        <v/>
      </c>
      <c r="C186" s="151"/>
      <c r="D186" s="146" t="str">
        <f t="shared" si="23"/>
        <v/>
      </c>
      <c r="E186" s="151"/>
      <c r="F186" s="146" t="str">
        <f t="shared" si="24"/>
        <v/>
      </c>
      <c r="G186" s="186"/>
      <c r="H186" s="146" t="str">
        <f t="shared" si="25"/>
        <v/>
      </c>
      <c r="I186" s="185"/>
      <c r="J186" s="185"/>
      <c r="K186" s="185"/>
      <c r="M186" s="141" t="str">
        <f t="shared" si="26"/>
        <v/>
      </c>
      <c r="N186" s="141" t="str">
        <f t="shared" si="27"/>
        <v/>
      </c>
    </row>
    <row r="187" spans="1:25">
      <c r="A187" s="145" t="str">
        <f>IF(C187="","",VLOOKUP('Opći dio'!$C$3,'Opći dio'!$L$6:$U$136,10,FALSE))</f>
        <v/>
      </c>
      <c r="B187" s="145" t="str">
        <f>IF(C187="","",VLOOKUP('Opći dio'!$C$3,'Opći dio'!$L$6:$U$136,9,FALSE))</f>
        <v/>
      </c>
      <c r="C187" s="151"/>
      <c r="D187" s="146" t="str">
        <f t="shared" si="23"/>
        <v/>
      </c>
      <c r="E187" s="151"/>
      <c r="F187" s="146" t="str">
        <f t="shared" si="24"/>
        <v/>
      </c>
      <c r="G187" s="186"/>
      <c r="H187" s="146" t="str">
        <f t="shared" si="25"/>
        <v/>
      </c>
      <c r="I187" s="185"/>
      <c r="J187" s="185"/>
      <c r="K187" s="185"/>
      <c r="M187" s="141" t="str">
        <f t="shared" si="26"/>
        <v/>
      </c>
      <c r="N187" s="141" t="str">
        <f t="shared" si="27"/>
        <v/>
      </c>
    </row>
    <row r="188" spans="1:25">
      <c r="A188" s="145" t="str">
        <f>IF(C188="","",VLOOKUP('Opći dio'!$C$3,'Opći dio'!$L$6:$U$136,10,FALSE))</f>
        <v/>
      </c>
      <c r="B188" s="145" t="str">
        <f>IF(C188="","",VLOOKUP('Opći dio'!$C$3,'Opći dio'!$L$6:$U$136,9,FALSE))</f>
        <v/>
      </c>
      <c r="C188" s="151"/>
      <c r="D188" s="146" t="str">
        <f t="shared" si="23"/>
        <v/>
      </c>
      <c r="E188" s="151"/>
      <c r="F188" s="146" t="str">
        <f t="shared" si="24"/>
        <v/>
      </c>
      <c r="G188" s="186"/>
      <c r="H188" s="146" t="str">
        <f t="shared" si="25"/>
        <v/>
      </c>
      <c r="I188" s="185"/>
      <c r="J188" s="185"/>
      <c r="K188" s="185"/>
      <c r="M188" s="141" t="str">
        <f t="shared" si="26"/>
        <v/>
      </c>
      <c r="N188" s="141" t="str">
        <f t="shared" si="27"/>
        <v/>
      </c>
    </row>
    <row r="189" spans="1:25">
      <c r="A189" s="145" t="str">
        <f>IF(C189="","",VLOOKUP('Opći dio'!$C$3,'Opći dio'!$L$6:$U$136,10,FALSE))</f>
        <v/>
      </c>
      <c r="B189" s="145" t="str">
        <f>IF(C189="","",VLOOKUP('Opći dio'!$C$3,'Opći dio'!$L$6:$U$136,9,FALSE))</f>
        <v/>
      </c>
      <c r="C189" s="151"/>
      <c r="D189" s="146" t="str">
        <f t="shared" si="23"/>
        <v/>
      </c>
      <c r="E189" s="151"/>
      <c r="F189" s="146" t="str">
        <f t="shared" si="24"/>
        <v/>
      </c>
      <c r="G189" s="186"/>
      <c r="H189" s="146" t="str">
        <f t="shared" si="25"/>
        <v/>
      </c>
      <c r="I189" s="185"/>
      <c r="J189" s="185"/>
      <c r="K189" s="185"/>
      <c r="M189" s="141" t="str">
        <f t="shared" si="26"/>
        <v/>
      </c>
      <c r="N189" s="141" t="str">
        <f t="shared" si="27"/>
        <v/>
      </c>
    </row>
    <row r="190" spans="1:25">
      <c r="A190" s="145" t="str">
        <f>IF(C190="","",VLOOKUP('Opći dio'!$C$3,'Opći dio'!$L$6:$U$136,10,FALSE))</f>
        <v/>
      </c>
      <c r="B190" s="145" t="str">
        <f>IF(C190="","",VLOOKUP('Opći dio'!$C$3,'Opći dio'!$L$6:$U$136,9,FALSE))</f>
        <v/>
      </c>
      <c r="C190" s="151"/>
      <c r="D190" s="146" t="str">
        <f t="shared" si="23"/>
        <v/>
      </c>
      <c r="E190" s="151"/>
      <c r="F190" s="146" t="str">
        <f t="shared" si="24"/>
        <v/>
      </c>
      <c r="G190" s="186"/>
      <c r="H190" s="146" t="str">
        <f t="shared" si="25"/>
        <v/>
      </c>
      <c r="I190" s="185"/>
      <c r="J190" s="185"/>
      <c r="K190" s="185"/>
      <c r="M190" s="141" t="str">
        <f t="shared" si="26"/>
        <v/>
      </c>
      <c r="N190" s="141" t="str">
        <f t="shared" si="27"/>
        <v/>
      </c>
    </row>
    <row r="191" spans="1:25">
      <c r="A191" s="145" t="str">
        <f>IF(C191="","",VLOOKUP('Opći dio'!$C$3,'Opći dio'!$L$6:$U$136,10,FALSE))</f>
        <v/>
      </c>
      <c r="B191" s="145" t="str">
        <f>IF(C191="","",VLOOKUP('Opći dio'!$C$3,'Opći dio'!$L$6:$U$136,9,FALSE))</f>
        <v/>
      </c>
      <c r="C191" s="151"/>
      <c r="D191" s="146" t="str">
        <f t="shared" si="23"/>
        <v/>
      </c>
      <c r="E191" s="151"/>
      <c r="F191" s="146" t="str">
        <f t="shared" si="24"/>
        <v/>
      </c>
      <c r="G191" s="186"/>
      <c r="H191" s="146" t="str">
        <f t="shared" si="25"/>
        <v/>
      </c>
      <c r="I191" s="185"/>
      <c r="J191" s="185"/>
      <c r="K191" s="185"/>
      <c r="M191" s="141" t="str">
        <f t="shared" si="26"/>
        <v/>
      </c>
      <c r="N191" s="141" t="str">
        <f t="shared" si="27"/>
        <v/>
      </c>
    </row>
    <row r="192" spans="1:25">
      <c r="A192" s="145" t="str">
        <f>IF(C192="","",VLOOKUP('Opći dio'!$C$3,'Opći dio'!$L$6:$U$136,10,FALSE))</f>
        <v/>
      </c>
      <c r="B192" s="145" t="str">
        <f>IF(C192="","",VLOOKUP('Opći dio'!$C$3,'Opći dio'!$L$6:$U$136,9,FALSE))</f>
        <v/>
      </c>
      <c r="C192" s="151"/>
      <c r="D192" s="146" t="str">
        <f t="shared" si="23"/>
        <v/>
      </c>
      <c r="E192" s="151"/>
      <c r="F192" s="146" t="str">
        <f t="shared" si="24"/>
        <v/>
      </c>
      <c r="G192" s="186"/>
      <c r="H192" s="146" t="str">
        <f t="shared" si="25"/>
        <v/>
      </c>
      <c r="I192" s="185"/>
      <c r="J192" s="185"/>
      <c r="K192" s="185"/>
      <c r="M192" s="141" t="str">
        <f t="shared" si="26"/>
        <v/>
      </c>
      <c r="N192" s="141" t="str">
        <f t="shared" si="27"/>
        <v/>
      </c>
    </row>
    <row r="193" spans="1:14">
      <c r="A193" s="145" t="str">
        <f>IF(C193="","",VLOOKUP('Opći dio'!$C$3,'Opći dio'!$L$6:$U$136,10,FALSE))</f>
        <v/>
      </c>
      <c r="B193" s="145" t="str">
        <f>IF(C193="","",VLOOKUP('Opći dio'!$C$3,'Opći dio'!$L$6:$U$136,9,FALSE))</f>
        <v/>
      </c>
      <c r="C193" s="151"/>
      <c r="D193" s="146" t="str">
        <f t="shared" si="23"/>
        <v/>
      </c>
      <c r="E193" s="151"/>
      <c r="F193" s="146" t="str">
        <f t="shared" si="24"/>
        <v/>
      </c>
      <c r="G193" s="186"/>
      <c r="H193" s="146" t="str">
        <f t="shared" si="25"/>
        <v/>
      </c>
      <c r="I193" s="185"/>
      <c r="J193" s="185"/>
      <c r="K193" s="185"/>
      <c r="M193" s="141" t="str">
        <f t="shared" si="26"/>
        <v/>
      </c>
      <c r="N193" s="141" t="str">
        <f t="shared" si="27"/>
        <v/>
      </c>
    </row>
    <row r="194" spans="1:14">
      <c r="A194" s="145" t="str">
        <f>IF(C194="","",VLOOKUP('Opći dio'!$C$3,'Opći dio'!$L$6:$U$136,10,FALSE))</f>
        <v/>
      </c>
      <c r="B194" s="145" t="str">
        <f>IF(C194="","",VLOOKUP('Opći dio'!$C$3,'Opći dio'!$L$6:$U$136,9,FALSE))</f>
        <v/>
      </c>
      <c r="C194" s="151"/>
      <c r="D194" s="146" t="str">
        <f t="shared" si="23"/>
        <v/>
      </c>
      <c r="E194" s="151"/>
      <c r="F194" s="146" t="str">
        <f t="shared" si="24"/>
        <v/>
      </c>
      <c r="G194" s="186"/>
      <c r="H194" s="146" t="str">
        <f t="shared" si="25"/>
        <v/>
      </c>
      <c r="I194" s="185"/>
      <c r="J194" s="185"/>
      <c r="K194" s="185"/>
      <c r="M194" s="141" t="str">
        <f t="shared" si="26"/>
        <v/>
      </c>
      <c r="N194" s="141" t="str">
        <f t="shared" si="27"/>
        <v/>
      </c>
    </row>
    <row r="195" spans="1:14">
      <c r="A195" s="145" t="str">
        <f>IF(C195="","",VLOOKUP('Opći dio'!$C$3,'Opći dio'!$L$6:$U$136,10,FALSE))</f>
        <v/>
      </c>
      <c r="B195" s="145" t="str">
        <f>IF(C195="","",VLOOKUP('Opći dio'!$C$3,'Opći dio'!$L$6:$U$136,9,FALSE))</f>
        <v/>
      </c>
      <c r="C195" s="151"/>
      <c r="D195" s="146" t="str">
        <f t="shared" si="23"/>
        <v/>
      </c>
      <c r="E195" s="151"/>
      <c r="F195" s="146" t="str">
        <f t="shared" si="24"/>
        <v/>
      </c>
      <c r="G195" s="186"/>
      <c r="H195" s="146" t="str">
        <f t="shared" si="25"/>
        <v/>
      </c>
      <c r="I195" s="185"/>
      <c r="J195" s="185"/>
      <c r="K195" s="185"/>
      <c r="M195" s="141" t="str">
        <f t="shared" si="26"/>
        <v/>
      </c>
      <c r="N195" s="141" t="str">
        <f t="shared" si="27"/>
        <v/>
      </c>
    </row>
    <row r="196" spans="1:14">
      <c r="A196" s="145" t="str">
        <f>IF(C196="","",VLOOKUP('Opći dio'!$C$3,'Opći dio'!$L$6:$U$136,10,FALSE))</f>
        <v/>
      </c>
      <c r="B196" s="145" t="str">
        <f>IF(C196="","",VLOOKUP('Opći dio'!$C$3,'Opći dio'!$L$6:$U$136,9,FALSE))</f>
        <v/>
      </c>
      <c r="C196" s="151"/>
      <c r="D196" s="146" t="str">
        <f t="shared" ref="D196:D259" si="28">IFERROR(VLOOKUP(C196,$O$6:$P$23,2,FALSE),"")</f>
        <v/>
      </c>
      <c r="E196" s="151"/>
      <c r="F196" s="146" t="str">
        <f t="shared" ref="F196:F259" si="29">IFERROR(VLOOKUP(E196,$R$5:$T$129,2,FALSE),"")</f>
        <v/>
      </c>
      <c r="G196" s="186"/>
      <c r="H196" s="146" t="str">
        <f t="shared" ref="H196:H259" si="30">IFERROR(VLOOKUP(G196,$X$6:$Y$200,2,FALSE),"")</f>
        <v/>
      </c>
      <c r="I196" s="185"/>
      <c r="J196" s="185"/>
      <c r="K196" s="185"/>
      <c r="M196" s="141" t="str">
        <f t="shared" ref="M196:M259" si="31">LEFT(E196,3)</f>
        <v/>
      </c>
      <c r="N196" s="141" t="str">
        <f t="shared" ref="N196:N259" si="32">LEFT(E196,2)</f>
        <v/>
      </c>
    </row>
    <row r="197" spans="1:14">
      <c r="A197" s="145" t="str">
        <f>IF(C197="","",VLOOKUP('Opći dio'!$C$3,'Opći dio'!$L$6:$U$136,10,FALSE))</f>
        <v/>
      </c>
      <c r="B197" s="145" t="str">
        <f>IF(C197="","",VLOOKUP('Opći dio'!$C$3,'Opći dio'!$L$6:$U$136,9,FALSE))</f>
        <v/>
      </c>
      <c r="C197" s="151"/>
      <c r="D197" s="146" t="str">
        <f t="shared" si="28"/>
        <v/>
      </c>
      <c r="E197" s="151"/>
      <c r="F197" s="146" t="str">
        <f t="shared" si="29"/>
        <v/>
      </c>
      <c r="G197" s="186"/>
      <c r="H197" s="146" t="str">
        <f t="shared" si="30"/>
        <v/>
      </c>
      <c r="I197" s="185"/>
      <c r="J197" s="185"/>
      <c r="K197" s="185"/>
      <c r="M197" s="141" t="str">
        <f t="shared" si="31"/>
        <v/>
      </c>
      <c r="N197" s="141" t="str">
        <f t="shared" si="32"/>
        <v/>
      </c>
    </row>
    <row r="198" spans="1:14">
      <c r="A198" s="145" t="str">
        <f>IF(C198="","",VLOOKUP('Opći dio'!$C$3,'Opći dio'!$L$6:$U$136,10,FALSE))</f>
        <v/>
      </c>
      <c r="B198" s="145" t="str">
        <f>IF(C198="","",VLOOKUP('Opći dio'!$C$3,'Opći dio'!$L$6:$U$136,9,FALSE))</f>
        <v/>
      </c>
      <c r="C198" s="151"/>
      <c r="D198" s="146" t="str">
        <f t="shared" si="28"/>
        <v/>
      </c>
      <c r="E198" s="151"/>
      <c r="F198" s="146" t="str">
        <f t="shared" si="29"/>
        <v/>
      </c>
      <c r="G198" s="186"/>
      <c r="H198" s="146" t="str">
        <f t="shared" si="30"/>
        <v/>
      </c>
      <c r="I198" s="185"/>
      <c r="J198" s="185"/>
      <c r="K198" s="185"/>
      <c r="M198" s="141" t="str">
        <f t="shared" si="31"/>
        <v/>
      </c>
      <c r="N198" s="141" t="str">
        <f t="shared" si="32"/>
        <v/>
      </c>
    </row>
    <row r="199" spans="1:14">
      <c r="A199" s="145" t="str">
        <f>IF(C199="","",VLOOKUP('Opći dio'!$C$3,'Opći dio'!$L$6:$U$136,10,FALSE))</f>
        <v/>
      </c>
      <c r="B199" s="145" t="str">
        <f>IF(C199="","",VLOOKUP('Opći dio'!$C$3,'Opći dio'!$L$6:$U$136,9,FALSE))</f>
        <v/>
      </c>
      <c r="C199" s="151"/>
      <c r="D199" s="146" t="str">
        <f t="shared" si="28"/>
        <v/>
      </c>
      <c r="E199" s="151"/>
      <c r="F199" s="146" t="str">
        <f t="shared" si="29"/>
        <v/>
      </c>
      <c r="G199" s="186"/>
      <c r="H199" s="146" t="str">
        <f t="shared" si="30"/>
        <v/>
      </c>
      <c r="I199" s="185"/>
      <c r="J199" s="185"/>
      <c r="K199" s="185"/>
      <c r="M199" s="141" t="str">
        <f t="shared" si="31"/>
        <v/>
      </c>
      <c r="N199" s="141" t="str">
        <f t="shared" si="32"/>
        <v/>
      </c>
    </row>
    <row r="200" spans="1:14">
      <c r="A200" s="145" t="str">
        <f>IF(C200="","",VLOOKUP('Opći dio'!$C$3,'Opći dio'!$L$6:$U$136,10,FALSE))</f>
        <v/>
      </c>
      <c r="B200" s="145" t="str">
        <f>IF(C200="","",VLOOKUP('Opći dio'!$C$3,'Opći dio'!$L$6:$U$136,9,FALSE))</f>
        <v/>
      </c>
      <c r="C200" s="151"/>
      <c r="D200" s="146" t="str">
        <f t="shared" si="28"/>
        <v/>
      </c>
      <c r="E200" s="151"/>
      <c r="F200" s="146" t="str">
        <f t="shared" si="29"/>
        <v/>
      </c>
      <c r="G200" s="186"/>
      <c r="H200" s="146" t="str">
        <f t="shared" si="30"/>
        <v/>
      </c>
      <c r="I200" s="185"/>
      <c r="J200" s="185"/>
      <c r="K200" s="185"/>
      <c r="M200" s="141" t="str">
        <f t="shared" si="31"/>
        <v/>
      </c>
      <c r="N200" s="141" t="str">
        <f t="shared" si="32"/>
        <v/>
      </c>
    </row>
    <row r="201" spans="1:14">
      <c r="A201" s="145" t="str">
        <f>IF(C201="","",VLOOKUP('Opći dio'!$C$3,'Opći dio'!$L$6:$U$136,10,FALSE))</f>
        <v/>
      </c>
      <c r="B201" s="145" t="str">
        <f>IF(C201="","",VLOOKUP('Opći dio'!$C$3,'Opći dio'!$L$6:$U$136,9,FALSE))</f>
        <v/>
      </c>
      <c r="C201" s="151"/>
      <c r="D201" s="146" t="str">
        <f t="shared" si="28"/>
        <v/>
      </c>
      <c r="E201" s="151"/>
      <c r="F201" s="146" t="str">
        <f t="shared" si="29"/>
        <v/>
      </c>
      <c r="G201" s="186"/>
      <c r="H201" s="146" t="str">
        <f t="shared" si="30"/>
        <v/>
      </c>
      <c r="I201" s="185"/>
      <c r="J201" s="185"/>
      <c r="K201" s="185"/>
      <c r="M201" s="141" t="str">
        <f t="shared" si="31"/>
        <v/>
      </c>
      <c r="N201" s="141" t="str">
        <f t="shared" si="32"/>
        <v/>
      </c>
    </row>
    <row r="202" spans="1:14">
      <c r="A202" s="145" t="str">
        <f>IF(C202="","",VLOOKUP('Opći dio'!$C$3,'Opći dio'!$L$6:$U$136,10,FALSE))</f>
        <v/>
      </c>
      <c r="B202" s="145" t="str">
        <f>IF(C202="","",VLOOKUP('Opći dio'!$C$3,'Opći dio'!$L$6:$U$136,9,FALSE))</f>
        <v/>
      </c>
      <c r="C202" s="151"/>
      <c r="D202" s="146" t="str">
        <f t="shared" si="28"/>
        <v/>
      </c>
      <c r="E202" s="151"/>
      <c r="F202" s="146" t="str">
        <f t="shared" si="29"/>
        <v/>
      </c>
      <c r="G202" s="186"/>
      <c r="H202" s="146" t="str">
        <f t="shared" si="30"/>
        <v/>
      </c>
      <c r="I202" s="185"/>
      <c r="J202" s="185"/>
      <c r="K202" s="185"/>
      <c r="M202" s="141" t="str">
        <f t="shared" si="31"/>
        <v/>
      </c>
      <c r="N202" s="141" t="str">
        <f t="shared" si="32"/>
        <v/>
      </c>
    </row>
    <row r="203" spans="1:14">
      <c r="A203" s="145" t="str">
        <f>IF(C203="","",VLOOKUP('Opći dio'!$C$3,'Opći dio'!$L$6:$U$136,10,FALSE))</f>
        <v/>
      </c>
      <c r="B203" s="145" t="str">
        <f>IF(C203="","",VLOOKUP('Opći dio'!$C$3,'Opći dio'!$L$6:$U$136,9,FALSE))</f>
        <v/>
      </c>
      <c r="C203" s="151"/>
      <c r="D203" s="146" t="str">
        <f t="shared" si="28"/>
        <v/>
      </c>
      <c r="E203" s="151"/>
      <c r="F203" s="146" t="str">
        <f t="shared" si="29"/>
        <v/>
      </c>
      <c r="G203" s="186"/>
      <c r="H203" s="146" t="str">
        <f t="shared" si="30"/>
        <v/>
      </c>
      <c r="I203" s="185"/>
      <c r="J203" s="185"/>
      <c r="K203" s="185"/>
      <c r="M203" s="141" t="str">
        <f t="shared" si="31"/>
        <v/>
      </c>
      <c r="N203" s="141" t="str">
        <f t="shared" si="32"/>
        <v/>
      </c>
    </row>
    <row r="204" spans="1:14">
      <c r="A204" s="145" t="str">
        <f>IF(C204="","",VLOOKUP('Opći dio'!$C$3,'Opći dio'!$L$6:$U$136,10,FALSE))</f>
        <v/>
      </c>
      <c r="B204" s="145" t="str">
        <f>IF(C204="","",VLOOKUP('Opći dio'!$C$3,'Opći dio'!$L$6:$U$136,9,FALSE))</f>
        <v/>
      </c>
      <c r="C204" s="151"/>
      <c r="D204" s="146" t="str">
        <f t="shared" si="28"/>
        <v/>
      </c>
      <c r="E204" s="151"/>
      <c r="F204" s="146" t="str">
        <f t="shared" si="29"/>
        <v/>
      </c>
      <c r="G204" s="186"/>
      <c r="H204" s="146" t="str">
        <f t="shared" si="30"/>
        <v/>
      </c>
      <c r="I204" s="185"/>
      <c r="J204" s="185"/>
      <c r="K204" s="185"/>
      <c r="M204" s="141" t="str">
        <f t="shared" si="31"/>
        <v/>
      </c>
      <c r="N204" s="141" t="str">
        <f t="shared" si="32"/>
        <v/>
      </c>
    </row>
    <row r="205" spans="1:14">
      <c r="A205" s="145" t="str">
        <f>IF(C205="","",VLOOKUP('Opći dio'!$C$3,'Opći dio'!$L$6:$U$136,10,FALSE))</f>
        <v/>
      </c>
      <c r="B205" s="145" t="str">
        <f>IF(C205="","",VLOOKUP('Opći dio'!$C$3,'Opći dio'!$L$6:$U$136,9,FALSE))</f>
        <v/>
      </c>
      <c r="C205" s="151"/>
      <c r="D205" s="146" t="str">
        <f t="shared" si="28"/>
        <v/>
      </c>
      <c r="E205" s="151"/>
      <c r="F205" s="146" t="str">
        <f t="shared" si="29"/>
        <v/>
      </c>
      <c r="G205" s="186"/>
      <c r="H205" s="146" t="str">
        <f t="shared" si="30"/>
        <v/>
      </c>
      <c r="I205" s="185"/>
      <c r="J205" s="185"/>
      <c r="K205" s="185"/>
      <c r="M205" s="141" t="str">
        <f t="shared" si="31"/>
        <v/>
      </c>
      <c r="N205" s="141" t="str">
        <f t="shared" si="32"/>
        <v/>
      </c>
    </row>
    <row r="206" spans="1:14">
      <c r="A206" s="145" t="str">
        <f>IF(C206="","",VLOOKUP('Opći dio'!$C$3,'Opći dio'!$L$6:$U$136,10,FALSE))</f>
        <v/>
      </c>
      <c r="B206" s="145" t="str">
        <f>IF(C206="","",VLOOKUP('Opći dio'!$C$3,'Opći dio'!$L$6:$U$136,9,FALSE))</f>
        <v/>
      </c>
      <c r="C206" s="151"/>
      <c r="D206" s="146" t="str">
        <f t="shared" si="28"/>
        <v/>
      </c>
      <c r="E206" s="151"/>
      <c r="F206" s="146" t="str">
        <f t="shared" si="29"/>
        <v/>
      </c>
      <c r="G206" s="186"/>
      <c r="H206" s="146" t="str">
        <f t="shared" si="30"/>
        <v/>
      </c>
      <c r="I206" s="185"/>
      <c r="J206" s="185"/>
      <c r="K206" s="185"/>
      <c r="M206" s="141" t="str">
        <f t="shared" si="31"/>
        <v/>
      </c>
      <c r="N206" s="141" t="str">
        <f t="shared" si="32"/>
        <v/>
      </c>
    </row>
    <row r="207" spans="1:14">
      <c r="A207" s="145" t="str">
        <f>IF(C207="","",VLOOKUP('Opći dio'!$C$3,'Opći dio'!$L$6:$U$136,10,FALSE))</f>
        <v/>
      </c>
      <c r="B207" s="145" t="str">
        <f>IF(C207="","",VLOOKUP('Opći dio'!$C$3,'Opći dio'!$L$6:$U$136,9,FALSE))</f>
        <v/>
      </c>
      <c r="C207" s="151"/>
      <c r="D207" s="146" t="str">
        <f t="shared" si="28"/>
        <v/>
      </c>
      <c r="E207" s="151"/>
      <c r="F207" s="146" t="str">
        <f t="shared" si="29"/>
        <v/>
      </c>
      <c r="G207" s="186"/>
      <c r="H207" s="146" t="str">
        <f t="shared" si="30"/>
        <v/>
      </c>
      <c r="I207" s="185"/>
      <c r="J207" s="185"/>
      <c r="K207" s="185"/>
      <c r="M207" s="141" t="str">
        <f t="shared" si="31"/>
        <v/>
      </c>
      <c r="N207" s="141" t="str">
        <f t="shared" si="32"/>
        <v/>
      </c>
    </row>
    <row r="208" spans="1:14">
      <c r="A208" s="145" t="str">
        <f>IF(C208="","",VLOOKUP('Opći dio'!$C$3,'Opći dio'!$L$6:$U$136,10,FALSE))</f>
        <v/>
      </c>
      <c r="B208" s="145" t="str">
        <f>IF(C208="","",VLOOKUP('Opći dio'!$C$3,'Opći dio'!$L$6:$U$136,9,FALSE))</f>
        <v/>
      </c>
      <c r="C208" s="151"/>
      <c r="D208" s="146" t="str">
        <f t="shared" si="28"/>
        <v/>
      </c>
      <c r="E208" s="151"/>
      <c r="F208" s="146" t="str">
        <f t="shared" si="29"/>
        <v/>
      </c>
      <c r="G208" s="186"/>
      <c r="H208" s="146" t="str">
        <f t="shared" si="30"/>
        <v/>
      </c>
      <c r="I208" s="185"/>
      <c r="J208" s="185"/>
      <c r="K208" s="185"/>
      <c r="M208" s="141" t="str">
        <f t="shared" si="31"/>
        <v/>
      </c>
      <c r="N208" s="141" t="str">
        <f t="shared" si="32"/>
        <v/>
      </c>
    </row>
    <row r="209" spans="1:14">
      <c r="A209" s="145" t="str">
        <f>IF(C209="","",VLOOKUP('Opći dio'!$C$3,'Opći dio'!$L$6:$U$136,10,FALSE))</f>
        <v/>
      </c>
      <c r="B209" s="145" t="str">
        <f>IF(C209="","",VLOOKUP('Opći dio'!$C$3,'Opći dio'!$L$6:$U$136,9,FALSE))</f>
        <v/>
      </c>
      <c r="C209" s="151"/>
      <c r="D209" s="146" t="str">
        <f t="shared" si="28"/>
        <v/>
      </c>
      <c r="E209" s="151"/>
      <c r="F209" s="146" t="str">
        <f t="shared" si="29"/>
        <v/>
      </c>
      <c r="G209" s="186"/>
      <c r="H209" s="146" t="str">
        <f t="shared" si="30"/>
        <v/>
      </c>
      <c r="I209" s="185"/>
      <c r="J209" s="185"/>
      <c r="K209" s="185"/>
      <c r="M209" s="141" t="str">
        <f t="shared" si="31"/>
        <v/>
      </c>
      <c r="N209" s="141" t="str">
        <f t="shared" si="32"/>
        <v/>
      </c>
    </row>
    <row r="210" spans="1:14">
      <c r="A210" s="145" t="str">
        <f>IF(C210="","",VLOOKUP('Opći dio'!$C$3,'Opći dio'!$L$6:$U$136,10,FALSE))</f>
        <v/>
      </c>
      <c r="B210" s="145" t="str">
        <f>IF(C210="","",VLOOKUP('Opći dio'!$C$3,'Opći dio'!$L$6:$U$136,9,FALSE))</f>
        <v/>
      </c>
      <c r="C210" s="151"/>
      <c r="D210" s="146" t="str">
        <f t="shared" si="28"/>
        <v/>
      </c>
      <c r="E210" s="151"/>
      <c r="F210" s="146" t="str">
        <f t="shared" si="29"/>
        <v/>
      </c>
      <c r="G210" s="186"/>
      <c r="H210" s="146" t="str">
        <f t="shared" si="30"/>
        <v/>
      </c>
      <c r="I210" s="185"/>
      <c r="J210" s="185"/>
      <c r="K210" s="185"/>
      <c r="M210" s="141" t="str">
        <f t="shared" si="31"/>
        <v/>
      </c>
      <c r="N210" s="141" t="str">
        <f t="shared" si="32"/>
        <v/>
      </c>
    </row>
    <row r="211" spans="1:14">
      <c r="A211" s="145" t="str">
        <f>IF(C211="","",VLOOKUP('Opći dio'!$C$3,'Opći dio'!$L$6:$U$136,10,FALSE))</f>
        <v/>
      </c>
      <c r="B211" s="145" t="str">
        <f>IF(C211="","",VLOOKUP('Opći dio'!$C$3,'Opći dio'!$L$6:$U$136,9,FALSE))</f>
        <v/>
      </c>
      <c r="C211" s="151"/>
      <c r="D211" s="146" t="str">
        <f t="shared" si="28"/>
        <v/>
      </c>
      <c r="E211" s="151"/>
      <c r="F211" s="146" t="str">
        <f t="shared" si="29"/>
        <v/>
      </c>
      <c r="G211" s="186"/>
      <c r="H211" s="146" t="str">
        <f t="shared" si="30"/>
        <v/>
      </c>
      <c r="I211" s="185"/>
      <c r="J211" s="185"/>
      <c r="K211" s="185"/>
      <c r="M211" s="141" t="str">
        <f t="shared" si="31"/>
        <v/>
      </c>
      <c r="N211" s="141" t="str">
        <f t="shared" si="32"/>
        <v/>
      </c>
    </row>
    <row r="212" spans="1:14">
      <c r="A212" s="145" t="str">
        <f>IF(C212="","",VLOOKUP('Opći dio'!$C$3,'Opći dio'!$L$6:$U$136,10,FALSE))</f>
        <v/>
      </c>
      <c r="B212" s="145" t="str">
        <f>IF(C212="","",VLOOKUP('Opći dio'!$C$3,'Opći dio'!$L$6:$U$136,9,FALSE))</f>
        <v/>
      </c>
      <c r="C212" s="151"/>
      <c r="D212" s="146" t="str">
        <f t="shared" si="28"/>
        <v/>
      </c>
      <c r="E212" s="151"/>
      <c r="F212" s="146" t="str">
        <f t="shared" si="29"/>
        <v/>
      </c>
      <c r="G212" s="186"/>
      <c r="H212" s="146" t="str">
        <f t="shared" si="30"/>
        <v/>
      </c>
      <c r="I212" s="185"/>
      <c r="J212" s="185"/>
      <c r="K212" s="185"/>
      <c r="M212" s="141" t="str">
        <f t="shared" si="31"/>
        <v/>
      </c>
      <c r="N212" s="141" t="str">
        <f t="shared" si="32"/>
        <v/>
      </c>
    </row>
    <row r="213" spans="1:14">
      <c r="A213" s="145" t="str">
        <f>IF(C213="","",VLOOKUP('Opći dio'!$C$3,'Opći dio'!$L$6:$U$136,10,FALSE))</f>
        <v/>
      </c>
      <c r="B213" s="145" t="str">
        <f>IF(C213="","",VLOOKUP('Opći dio'!$C$3,'Opći dio'!$L$6:$U$136,9,FALSE))</f>
        <v/>
      </c>
      <c r="C213" s="151"/>
      <c r="D213" s="146" t="str">
        <f t="shared" si="28"/>
        <v/>
      </c>
      <c r="E213" s="151"/>
      <c r="F213" s="146" t="str">
        <f t="shared" si="29"/>
        <v/>
      </c>
      <c r="G213" s="186"/>
      <c r="H213" s="146" t="str">
        <f t="shared" si="30"/>
        <v/>
      </c>
      <c r="I213" s="185"/>
      <c r="J213" s="185"/>
      <c r="K213" s="185"/>
      <c r="M213" s="141" t="str">
        <f t="shared" si="31"/>
        <v/>
      </c>
      <c r="N213" s="141" t="str">
        <f t="shared" si="32"/>
        <v/>
      </c>
    </row>
    <row r="214" spans="1:14">
      <c r="A214" s="145" t="str">
        <f>IF(C214="","",VLOOKUP('Opći dio'!$C$3,'Opći dio'!$L$6:$U$136,10,FALSE))</f>
        <v/>
      </c>
      <c r="B214" s="145" t="str">
        <f>IF(C214="","",VLOOKUP('Opći dio'!$C$3,'Opći dio'!$L$6:$U$136,9,FALSE))</f>
        <v/>
      </c>
      <c r="C214" s="151"/>
      <c r="D214" s="146" t="str">
        <f t="shared" si="28"/>
        <v/>
      </c>
      <c r="E214" s="151"/>
      <c r="F214" s="146" t="str">
        <f t="shared" si="29"/>
        <v/>
      </c>
      <c r="G214" s="186"/>
      <c r="H214" s="146" t="str">
        <f t="shared" si="30"/>
        <v/>
      </c>
      <c r="I214" s="185"/>
      <c r="J214" s="185"/>
      <c r="K214" s="185"/>
      <c r="M214" s="141" t="str">
        <f t="shared" si="31"/>
        <v/>
      </c>
      <c r="N214" s="141" t="str">
        <f t="shared" si="32"/>
        <v/>
      </c>
    </row>
    <row r="215" spans="1:14">
      <c r="A215" s="145" t="str">
        <f>IF(C215="","",VLOOKUP('Opći dio'!$C$3,'Opći dio'!$L$6:$U$136,10,FALSE))</f>
        <v/>
      </c>
      <c r="B215" s="145" t="str">
        <f>IF(C215="","",VLOOKUP('Opći dio'!$C$3,'Opći dio'!$L$6:$U$136,9,FALSE))</f>
        <v/>
      </c>
      <c r="C215" s="151"/>
      <c r="D215" s="146" t="str">
        <f t="shared" si="28"/>
        <v/>
      </c>
      <c r="E215" s="151"/>
      <c r="F215" s="146" t="str">
        <f t="shared" si="29"/>
        <v/>
      </c>
      <c r="G215" s="186"/>
      <c r="H215" s="146" t="str">
        <f t="shared" si="30"/>
        <v/>
      </c>
      <c r="I215" s="185"/>
      <c r="J215" s="185"/>
      <c r="K215" s="185"/>
      <c r="M215" s="141" t="str">
        <f t="shared" si="31"/>
        <v/>
      </c>
      <c r="N215" s="141" t="str">
        <f t="shared" si="32"/>
        <v/>
      </c>
    </row>
    <row r="216" spans="1:14">
      <c r="A216" s="145" t="str">
        <f>IF(C216="","",VLOOKUP('Opći dio'!$C$3,'Opći dio'!$L$6:$U$136,10,FALSE))</f>
        <v/>
      </c>
      <c r="B216" s="145" t="str">
        <f>IF(C216="","",VLOOKUP('Opći dio'!$C$3,'Opći dio'!$L$6:$U$136,9,FALSE))</f>
        <v/>
      </c>
      <c r="C216" s="151"/>
      <c r="D216" s="146" t="str">
        <f t="shared" si="28"/>
        <v/>
      </c>
      <c r="E216" s="151"/>
      <c r="F216" s="146" t="str">
        <f t="shared" si="29"/>
        <v/>
      </c>
      <c r="G216" s="186"/>
      <c r="H216" s="146" t="str">
        <f t="shared" si="30"/>
        <v/>
      </c>
      <c r="I216" s="185"/>
      <c r="J216" s="185"/>
      <c r="K216" s="185"/>
      <c r="M216" s="141" t="str">
        <f t="shared" si="31"/>
        <v/>
      </c>
      <c r="N216" s="141" t="str">
        <f t="shared" si="32"/>
        <v/>
      </c>
    </row>
    <row r="217" spans="1:14">
      <c r="A217" s="145" t="str">
        <f>IF(C217="","",VLOOKUP('Opći dio'!$C$3,'Opći dio'!$L$6:$U$136,10,FALSE))</f>
        <v/>
      </c>
      <c r="B217" s="145" t="str">
        <f>IF(C217="","",VLOOKUP('Opći dio'!$C$3,'Opći dio'!$L$6:$U$136,9,FALSE))</f>
        <v/>
      </c>
      <c r="C217" s="151"/>
      <c r="D217" s="146" t="str">
        <f t="shared" si="28"/>
        <v/>
      </c>
      <c r="E217" s="151"/>
      <c r="F217" s="146" t="str">
        <f t="shared" si="29"/>
        <v/>
      </c>
      <c r="G217" s="186"/>
      <c r="H217" s="146" t="str">
        <f t="shared" si="30"/>
        <v/>
      </c>
      <c r="I217" s="185"/>
      <c r="J217" s="185"/>
      <c r="K217" s="185"/>
      <c r="M217" s="141" t="str">
        <f t="shared" si="31"/>
        <v/>
      </c>
      <c r="N217" s="141" t="str">
        <f t="shared" si="32"/>
        <v/>
      </c>
    </row>
    <row r="218" spans="1:14">
      <c r="A218" s="145" t="str">
        <f>IF(C218="","",VLOOKUP('Opći dio'!$C$3,'Opći dio'!$L$6:$U$136,10,FALSE))</f>
        <v/>
      </c>
      <c r="B218" s="145" t="str">
        <f>IF(C218="","",VLOOKUP('Opći dio'!$C$3,'Opći dio'!$L$6:$U$136,9,FALSE))</f>
        <v/>
      </c>
      <c r="C218" s="151"/>
      <c r="D218" s="146" t="str">
        <f t="shared" si="28"/>
        <v/>
      </c>
      <c r="E218" s="151"/>
      <c r="F218" s="146" t="str">
        <f t="shared" si="29"/>
        <v/>
      </c>
      <c r="G218" s="186"/>
      <c r="H218" s="146" t="str">
        <f t="shared" si="30"/>
        <v/>
      </c>
      <c r="I218" s="185"/>
      <c r="J218" s="185"/>
      <c r="K218" s="185"/>
      <c r="M218" s="141" t="str">
        <f t="shared" si="31"/>
        <v/>
      </c>
      <c r="N218" s="141" t="str">
        <f t="shared" si="32"/>
        <v/>
      </c>
    </row>
    <row r="219" spans="1:14">
      <c r="A219" s="145" t="str">
        <f>IF(C219="","",VLOOKUP('Opći dio'!$C$3,'Opći dio'!$L$6:$U$136,10,FALSE))</f>
        <v/>
      </c>
      <c r="B219" s="145" t="str">
        <f>IF(C219="","",VLOOKUP('Opći dio'!$C$3,'Opći dio'!$L$6:$U$136,9,FALSE))</f>
        <v/>
      </c>
      <c r="C219" s="151"/>
      <c r="D219" s="146" t="str">
        <f t="shared" si="28"/>
        <v/>
      </c>
      <c r="E219" s="151"/>
      <c r="F219" s="146" t="str">
        <f t="shared" si="29"/>
        <v/>
      </c>
      <c r="G219" s="186"/>
      <c r="H219" s="146" t="str">
        <f t="shared" si="30"/>
        <v/>
      </c>
      <c r="I219" s="185"/>
      <c r="J219" s="185"/>
      <c r="K219" s="185"/>
      <c r="M219" s="141" t="str">
        <f t="shared" si="31"/>
        <v/>
      </c>
      <c r="N219" s="141" t="str">
        <f t="shared" si="32"/>
        <v/>
      </c>
    </row>
    <row r="220" spans="1:14">
      <c r="A220" s="145" t="str">
        <f>IF(C220="","",VLOOKUP('Opći dio'!$C$3,'Opći dio'!$L$6:$U$136,10,FALSE))</f>
        <v/>
      </c>
      <c r="B220" s="145" t="str">
        <f>IF(C220="","",VLOOKUP('Opći dio'!$C$3,'Opći dio'!$L$6:$U$136,9,FALSE))</f>
        <v/>
      </c>
      <c r="C220" s="151"/>
      <c r="D220" s="146" t="str">
        <f t="shared" si="28"/>
        <v/>
      </c>
      <c r="E220" s="151"/>
      <c r="F220" s="146" t="str">
        <f t="shared" si="29"/>
        <v/>
      </c>
      <c r="G220" s="186"/>
      <c r="H220" s="146" t="str">
        <f t="shared" si="30"/>
        <v/>
      </c>
      <c r="I220" s="185"/>
      <c r="J220" s="185"/>
      <c r="K220" s="185"/>
      <c r="M220" s="141" t="str">
        <f t="shared" si="31"/>
        <v/>
      </c>
      <c r="N220" s="141" t="str">
        <f t="shared" si="32"/>
        <v/>
      </c>
    </row>
    <row r="221" spans="1:14">
      <c r="A221" s="145" t="str">
        <f>IF(C221="","",VLOOKUP('Opći dio'!$C$3,'Opći dio'!$L$6:$U$136,10,FALSE))</f>
        <v/>
      </c>
      <c r="B221" s="145" t="str">
        <f>IF(C221="","",VLOOKUP('Opći dio'!$C$3,'Opći dio'!$L$6:$U$136,9,FALSE))</f>
        <v/>
      </c>
      <c r="C221" s="151"/>
      <c r="D221" s="146" t="str">
        <f t="shared" si="28"/>
        <v/>
      </c>
      <c r="E221" s="151"/>
      <c r="F221" s="146" t="str">
        <f t="shared" si="29"/>
        <v/>
      </c>
      <c r="G221" s="186"/>
      <c r="H221" s="146" t="str">
        <f t="shared" si="30"/>
        <v/>
      </c>
      <c r="I221" s="185"/>
      <c r="J221" s="185"/>
      <c r="K221" s="185"/>
      <c r="M221" s="141" t="str">
        <f t="shared" si="31"/>
        <v/>
      </c>
      <c r="N221" s="141" t="str">
        <f t="shared" si="32"/>
        <v/>
      </c>
    </row>
    <row r="222" spans="1:14">
      <c r="A222" s="145" t="str">
        <f>IF(C222="","",VLOOKUP('Opći dio'!$C$3,'Opći dio'!$L$6:$U$136,10,FALSE))</f>
        <v/>
      </c>
      <c r="B222" s="145" t="str">
        <f>IF(C222="","",VLOOKUP('Opći dio'!$C$3,'Opći dio'!$L$6:$U$136,9,FALSE))</f>
        <v/>
      </c>
      <c r="C222" s="151"/>
      <c r="D222" s="146" t="str">
        <f t="shared" si="28"/>
        <v/>
      </c>
      <c r="E222" s="151"/>
      <c r="F222" s="146" t="str">
        <f t="shared" si="29"/>
        <v/>
      </c>
      <c r="G222" s="186"/>
      <c r="H222" s="146" t="str">
        <f t="shared" si="30"/>
        <v/>
      </c>
      <c r="I222" s="185"/>
      <c r="J222" s="185"/>
      <c r="K222" s="185"/>
      <c r="M222" s="141" t="str">
        <f t="shared" si="31"/>
        <v/>
      </c>
      <c r="N222" s="141" t="str">
        <f t="shared" si="32"/>
        <v/>
      </c>
    </row>
    <row r="223" spans="1:14">
      <c r="A223" s="145" t="str">
        <f>IF(C223="","",VLOOKUP('Opći dio'!$C$3,'Opći dio'!$L$6:$U$136,10,FALSE))</f>
        <v/>
      </c>
      <c r="B223" s="145" t="str">
        <f>IF(C223="","",VLOOKUP('Opći dio'!$C$3,'Opći dio'!$L$6:$U$136,9,FALSE))</f>
        <v/>
      </c>
      <c r="C223" s="151"/>
      <c r="D223" s="146" t="str">
        <f t="shared" si="28"/>
        <v/>
      </c>
      <c r="E223" s="151"/>
      <c r="F223" s="146" t="str">
        <f t="shared" si="29"/>
        <v/>
      </c>
      <c r="G223" s="186"/>
      <c r="H223" s="146" t="str">
        <f t="shared" si="30"/>
        <v/>
      </c>
      <c r="I223" s="185"/>
      <c r="J223" s="185"/>
      <c r="K223" s="185"/>
      <c r="M223" s="141" t="str">
        <f t="shared" si="31"/>
        <v/>
      </c>
      <c r="N223" s="141" t="str">
        <f t="shared" si="32"/>
        <v/>
      </c>
    </row>
    <row r="224" spans="1:14">
      <c r="A224" s="145" t="str">
        <f>IF(C224="","",VLOOKUP('Opći dio'!$C$3,'Opći dio'!$L$6:$U$136,10,FALSE))</f>
        <v/>
      </c>
      <c r="B224" s="145" t="str">
        <f>IF(C224="","",VLOOKUP('Opći dio'!$C$3,'Opći dio'!$L$6:$U$136,9,FALSE))</f>
        <v/>
      </c>
      <c r="C224" s="151"/>
      <c r="D224" s="146" t="str">
        <f t="shared" si="28"/>
        <v/>
      </c>
      <c r="E224" s="151"/>
      <c r="F224" s="146" t="str">
        <f t="shared" si="29"/>
        <v/>
      </c>
      <c r="G224" s="186"/>
      <c r="H224" s="146" t="str">
        <f t="shared" si="30"/>
        <v/>
      </c>
      <c r="I224" s="185"/>
      <c r="J224" s="185"/>
      <c r="K224" s="185"/>
      <c r="M224" s="141" t="str">
        <f t="shared" si="31"/>
        <v/>
      </c>
      <c r="N224" s="141" t="str">
        <f t="shared" si="32"/>
        <v/>
      </c>
    </row>
    <row r="225" spans="1:14">
      <c r="A225" s="145" t="str">
        <f>IF(C225="","",VLOOKUP('Opći dio'!$C$3,'Opći dio'!$L$6:$U$136,10,FALSE))</f>
        <v/>
      </c>
      <c r="B225" s="145" t="str">
        <f>IF(C225="","",VLOOKUP('Opći dio'!$C$3,'Opći dio'!$L$6:$U$136,9,FALSE))</f>
        <v/>
      </c>
      <c r="C225" s="151"/>
      <c r="D225" s="146" t="str">
        <f t="shared" si="28"/>
        <v/>
      </c>
      <c r="E225" s="151"/>
      <c r="F225" s="146" t="str">
        <f t="shared" si="29"/>
        <v/>
      </c>
      <c r="G225" s="186"/>
      <c r="H225" s="146" t="str">
        <f t="shared" si="30"/>
        <v/>
      </c>
      <c r="I225" s="185"/>
      <c r="J225" s="185"/>
      <c r="K225" s="185"/>
      <c r="M225" s="141" t="str">
        <f t="shared" si="31"/>
        <v/>
      </c>
      <c r="N225" s="141" t="str">
        <f t="shared" si="32"/>
        <v/>
      </c>
    </row>
    <row r="226" spans="1:14">
      <c r="A226" s="145" t="str">
        <f>IF(C226="","",VLOOKUP('Opći dio'!$C$3,'Opći dio'!$L$6:$U$136,10,FALSE))</f>
        <v/>
      </c>
      <c r="B226" s="145" t="str">
        <f>IF(C226="","",VLOOKUP('Opći dio'!$C$3,'Opći dio'!$L$6:$U$136,9,FALSE))</f>
        <v/>
      </c>
      <c r="C226" s="151"/>
      <c r="D226" s="146" t="str">
        <f t="shared" si="28"/>
        <v/>
      </c>
      <c r="E226" s="151"/>
      <c r="F226" s="146" t="str">
        <f t="shared" si="29"/>
        <v/>
      </c>
      <c r="G226" s="186"/>
      <c r="H226" s="146" t="str">
        <f t="shared" si="30"/>
        <v/>
      </c>
      <c r="I226" s="185"/>
      <c r="J226" s="185"/>
      <c r="K226" s="185"/>
      <c r="M226" s="141" t="str">
        <f t="shared" si="31"/>
        <v/>
      </c>
      <c r="N226" s="141" t="str">
        <f t="shared" si="32"/>
        <v/>
      </c>
    </row>
    <row r="227" spans="1:14">
      <c r="A227" s="145" t="str">
        <f>IF(C227="","",VLOOKUP('Opći dio'!$C$3,'Opći dio'!$L$6:$U$136,10,FALSE))</f>
        <v/>
      </c>
      <c r="B227" s="145" t="str">
        <f>IF(C227="","",VLOOKUP('Opći dio'!$C$3,'Opći dio'!$L$6:$U$136,9,FALSE))</f>
        <v/>
      </c>
      <c r="C227" s="151"/>
      <c r="D227" s="146" t="str">
        <f t="shared" si="28"/>
        <v/>
      </c>
      <c r="E227" s="151"/>
      <c r="F227" s="146" t="str">
        <f t="shared" si="29"/>
        <v/>
      </c>
      <c r="G227" s="186"/>
      <c r="H227" s="146" t="str">
        <f t="shared" si="30"/>
        <v/>
      </c>
      <c r="I227" s="185"/>
      <c r="J227" s="185"/>
      <c r="K227" s="185"/>
      <c r="M227" s="141" t="str">
        <f t="shared" si="31"/>
        <v/>
      </c>
      <c r="N227" s="141" t="str">
        <f t="shared" si="32"/>
        <v/>
      </c>
    </row>
    <row r="228" spans="1:14">
      <c r="A228" s="145" t="str">
        <f>IF(C228="","",VLOOKUP('Opći dio'!$C$3,'Opći dio'!$L$6:$U$136,10,FALSE))</f>
        <v/>
      </c>
      <c r="B228" s="145" t="str">
        <f>IF(C228="","",VLOOKUP('Opći dio'!$C$3,'Opći dio'!$L$6:$U$136,9,FALSE))</f>
        <v/>
      </c>
      <c r="C228" s="151"/>
      <c r="D228" s="146" t="str">
        <f t="shared" si="28"/>
        <v/>
      </c>
      <c r="E228" s="151"/>
      <c r="F228" s="146" t="str">
        <f t="shared" si="29"/>
        <v/>
      </c>
      <c r="G228" s="186"/>
      <c r="H228" s="146" t="str">
        <f t="shared" si="30"/>
        <v/>
      </c>
      <c r="I228" s="185"/>
      <c r="J228" s="185"/>
      <c r="K228" s="185"/>
      <c r="M228" s="141" t="str">
        <f t="shared" si="31"/>
        <v/>
      </c>
      <c r="N228" s="141" t="str">
        <f t="shared" si="32"/>
        <v/>
      </c>
    </row>
    <row r="229" spans="1:14">
      <c r="A229" s="145" t="str">
        <f>IF(C229="","",VLOOKUP('Opći dio'!$C$3,'Opći dio'!$L$6:$U$136,10,FALSE))</f>
        <v/>
      </c>
      <c r="B229" s="145" t="str">
        <f>IF(C229="","",VLOOKUP('Opći dio'!$C$3,'Opći dio'!$L$6:$U$136,9,FALSE))</f>
        <v/>
      </c>
      <c r="C229" s="151"/>
      <c r="D229" s="146" t="str">
        <f t="shared" si="28"/>
        <v/>
      </c>
      <c r="E229" s="151"/>
      <c r="F229" s="146" t="str">
        <f t="shared" si="29"/>
        <v/>
      </c>
      <c r="G229" s="186"/>
      <c r="H229" s="146" t="str">
        <f t="shared" si="30"/>
        <v/>
      </c>
      <c r="I229" s="185"/>
      <c r="J229" s="185"/>
      <c r="K229" s="185"/>
      <c r="M229" s="141" t="str">
        <f t="shared" si="31"/>
        <v/>
      </c>
      <c r="N229" s="141" t="str">
        <f t="shared" si="32"/>
        <v/>
      </c>
    </row>
    <row r="230" spans="1:14">
      <c r="A230" s="145" t="str">
        <f>IF(C230="","",VLOOKUP('Opći dio'!$C$3,'Opći dio'!$L$6:$U$136,10,FALSE))</f>
        <v/>
      </c>
      <c r="B230" s="145" t="str">
        <f>IF(C230="","",VLOOKUP('Opći dio'!$C$3,'Opći dio'!$L$6:$U$136,9,FALSE))</f>
        <v/>
      </c>
      <c r="C230" s="151"/>
      <c r="D230" s="146" t="str">
        <f t="shared" si="28"/>
        <v/>
      </c>
      <c r="E230" s="151"/>
      <c r="F230" s="146" t="str">
        <f t="shared" si="29"/>
        <v/>
      </c>
      <c r="G230" s="186"/>
      <c r="H230" s="146" t="str">
        <f t="shared" si="30"/>
        <v/>
      </c>
      <c r="I230" s="185"/>
      <c r="J230" s="185"/>
      <c r="K230" s="185"/>
      <c r="M230" s="141" t="str">
        <f t="shared" si="31"/>
        <v/>
      </c>
      <c r="N230" s="141" t="str">
        <f t="shared" si="32"/>
        <v/>
      </c>
    </row>
    <row r="231" spans="1:14">
      <c r="A231" s="145" t="str">
        <f>IF(C231="","",VLOOKUP('Opći dio'!$C$3,'Opći dio'!$L$6:$U$136,10,FALSE))</f>
        <v/>
      </c>
      <c r="B231" s="145" t="str">
        <f>IF(C231="","",VLOOKUP('Opći dio'!$C$3,'Opći dio'!$L$6:$U$136,9,FALSE))</f>
        <v/>
      </c>
      <c r="C231" s="151"/>
      <c r="D231" s="146" t="str">
        <f t="shared" si="28"/>
        <v/>
      </c>
      <c r="E231" s="151"/>
      <c r="F231" s="146" t="str">
        <f t="shared" si="29"/>
        <v/>
      </c>
      <c r="G231" s="186"/>
      <c r="H231" s="146" t="str">
        <f t="shared" si="30"/>
        <v/>
      </c>
      <c r="I231" s="185"/>
      <c r="J231" s="185"/>
      <c r="K231" s="185"/>
      <c r="M231" s="141" t="str">
        <f t="shared" si="31"/>
        <v/>
      </c>
      <c r="N231" s="141" t="str">
        <f t="shared" si="32"/>
        <v/>
      </c>
    </row>
    <row r="232" spans="1:14">
      <c r="A232" s="145" t="str">
        <f>IF(C232="","",VLOOKUP('Opći dio'!$C$3,'Opći dio'!$L$6:$U$136,10,FALSE))</f>
        <v/>
      </c>
      <c r="B232" s="145" t="str">
        <f>IF(C232="","",VLOOKUP('Opći dio'!$C$3,'Opći dio'!$L$6:$U$136,9,FALSE))</f>
        <v/>
      </c>
      <c r="C232" s="151"/>
      <c r="D232" s="146" t="str">
        <f t="shared" si="28"/>
        <v/>
      </c>
      <c r="E232" s="151"/>
      <c r="F232" s="146" t="str">
        <f t="shared" si="29"/>
        <v/>
      </c>
      <c r="G232" s="186"/>
      <c r="H232" s="146" t="str">
        <f t="shared" si="30"/>
        <v/>
      </c>
      <c r="I232" s="185"/>
      <c r="J232" s="185"/>
      <c r="K232" s="185"/>
      <c r="M232" s="141" t="str">
        <f t="shared" si="31"/>
        <v/>
      </c>
      <c r="N232" s="141" t="str">
        <f t="shared" si="32"/>
        <v/>
      </c>
    </row>
    <row r="233" spans="1:14">
      <c r="A233" s="145" t="str">
        <f>IF(C233="","",VLOOKUP('Opći dio'!$C$3,'Opći dio'!$L$6:$U$136,10,FALSE))</f>
        <v/>
      </c>
      <c r="B233" s="145" t="str">
        <f>IF(C233="","",VLOOKUP('Opći dio'!$C$3,'Opći dio'!$L$6:$U$136,9,FALSE))</f>
        <v/>
      </c>
      <c r="C233" s="151"/>
      <c r="D233" s="146" t="str">
        <f t="shared" si="28"/>
        <v/>
      </c>
      <c r="E233" s="151"/>
      <c r="F233" s="146" t="str">
        <f t="shared" si="29"/>
        <v/>
      </c>
      <c r="G233" s="186"/>
      <c r="H233" s="146" t="str">
        <f t="shared" si="30"/>
        <v/>
      </c>
      <c r="I233" s="185"/>
      <c r="J233" s="185"/>
      <c r="K233" s="185"/>
      <c r="M233" s="141" t="str">
        <f t="shared" si="31"/>
        <v/>
      </c>
      <c r="N233" s="141" t="str">
        <f t="shared" si="32"/>
        <v/>
      </c>
    </row>
    <row r="234" spans="1:14">
      <c r="A234" s="145" t="str">
        <f>IF(C234="","",VLOOKUP('Opći dio'!$C$3,'Opći dio'!$L$6:$U$136,10,FALSE))</f>
        <v/>
      </c>
      <c r="B234" s="145" t="str">
        <f>IF(C234="","",VLOOKUP('Opći dio'!$C$3,'Opći dio'!$L$6:$U$136,9,FALSE))</f>
        <v/>
      </c>
      <c r="C234" s="151"/>
      <c r="D234" s="146" t="str">
        <f t="shared" si="28"/>
        <v/>
      </c>
      <c r="E234" s="151"/>
      <c r="F234" s="146" t="str">
        <f t="shared" si="29"/>
        <v/>
      </c>
      <c r="G234" s="186"/>
      <c r="H234" s="146" t="str">
        <f t="shared" si="30"/>
        <v/>
      </c>
      <c r="I234" s="185"/>
      <c r="J234" s="185"/>
      <c r="K234" s="185"/>
      <c r="M234" s="141" t="str">
        <f t="shared" si="31"/>
        <v/>
      </c>
      <c r="N234" s="141" t="str">
        <f t="shared" si="32"/>
        <v/>
      </c>
    </row>
    <row r="235" spans="1:14">
      <c r="A235" s="145" t="str">
        <f>IF(C235="","",VLOOKUP('Opći dio'!$C$3,'Opći dio'!$L$6:$U$136,10,FALSE))</f>
        <v/>
      </c>
      <c r="B235" s="145" t="str">
        <f>IF(C235="","",VLOOKUP('Opći dio'!$C$3,'Opći dio'!$L$6:$U$136,9,FALSE))</f>
        <v/>
      </c>
      <c r="C235" s="151"/>
      <c r="D235" s="146" t="str">
        <f t="shared" si="28"/>
        <v/>
      </c>
      <c r="E235" s="151"/>
      <c r="F235" s="146" t="str">
        <f t="shared" si="29"/>
        <v/>
      </c>
      <c r="G235" s="186"/>
      <c r="H235" s="146" t="str">
        <f t="shared" si="30"/>
        <v/>
      </c>
      <c r="I235" s="185"/>
      <c r="J235" s="185"/>
      <c r="K235" s="185"/>
      <c r="M235" s="141" t="str">
        <f t="shared" si="31"/>
        <v/>
      </c>
      <c r="N235" s="141" t="str">
        <f t="shared" si="32"/>
        <v/>
      </c>
    </row>
    <row r="236" spans="1:14">
      <c r="A236" s="145" t="str">
        <f>IF(C236="","",VLOOKUP('Opći dio'!$C$3,'Opći dio'!$L$6:$U$136,10,FALSE))</f>
        <v/>
      </c>
      <c r="B236" s="145" t="str">
        <f>IF(C236="","",VLOOKUP('Opći dio'!$C$3,'Opći dio'!$L$6:$U$136,9,FALSE))</f>
        <v/>
      </c>
      <c r="C236" s="151"/>
      <c r="D236" s="146" t="str">
        <f t="shared" si="28"/>
        <v/>
      </c>
      <c r="E236" s="151"/>
      <c r="F236" s="146" t="str">
        <f t="shared" si="29"/>
        <v/>
      </c>
      <c r="G236" s="186"/>
      <c r="H236" s="146" t="str">
        <f t="shared" si="30"/>
        <v/>
      </c>
      <c r="I236" s="185"/>
      <c r="J236" s="185"/>
      <c r="K236" s="185"/>
      <c r="M236" s="141" t="str">
        <f t="shared" si="31"/>
        <v/>
      </c>
      <c r="N236" s="141" t="str">
        <f t="shared" si="32"/>
        <v/>
      </c>
    </row>
    <row r="237" spans="1:14">
      <c r="A237" s="145" t="str">
        <f>IF(C237="","",VLOOKUP('Opći dio'!$C$3,'Opći dio'!$L$6:$U$136,10,FALSE))</f>
        <v/>
      </c>
      <c r="B237" s="145" t="str">
        <f>IF(C237="","",VLOOKUP('Opći dio'!$C$3,'Opći dio'!$L$6:$U$136,9,FALSE))</f>
        <v/>
      </c>
      <c r="C237" s="151"/>
      <c r="D237" s="146" t="str">
        <f t="shared" si="28"/>
        <v/>
      </c>
      <c r="E237" s="151"/>
      <c r="F237" s="146" t="str">
        <f t="shared" si="29"/>
        <v/>
      </c>
      <c r="G237" s="186"/>
      <c r="H237" s="146" t="str">
        <f t="shared" si="30"/>
        <v/>
      </c>
      <c r="I237" s="185"/>
      <c r="J237" s="185"/>
      <c r="K237" s="185"/>
      <c r="M237" s="141" t="str">
        <f t="shared" si="31"/>
        <v/>
      </c>
      <c r="N237" s="141" t="str">
        <f t="shared" si="32"/>
        <v/>
      </c>
    </row>
    <row r="238" spans="1:14">
      <c r="A238" s="145" t="str">
        <f>IF(C238="","",VLOOKUP('Opći dio'!$C$3,'Opći dio'!$L$6:$U$136,10,FALSE))</f>
        <v/>
      </c>
      <c r="B238" s="145" t="str">
        <f>IF(C238="","",VLOOKUP('Opći dio'!$C$3,'Opći dio'!$L$6:$U$136,9,FALSE))</f>
        <v/>
      </c>
      <c r="C238" s="151"/>
      <c r="D238" s="146" t="str">
        <f t="shared" si="28"/>
        <v/>
      </c>
      <c r="E238" s="151"/>
      <c r="F238" s="146" t="str">
        <f t="shared" si="29"/>
        <v/>
      </c>
      <c r="G238" s="186"/>
      <c r="H238" s="146" t="str">
        <f t="shared" si="30"/>
        <v/>
      </c>
      <c r="I238" s="185"/>
      <c r="J238" s="185"/>
      <c r="K238" s="185"/>
      <c r="M238" s="141" t="str">
        <f t="shared" si="31"/>
        <v/>
      </c>
      <c r="N238" s="141" t="str">
        <f t="shared" si="32"/>
        <v/>
      </c>
    </row>
    <row r="239" spans="1:14">
      <c r="A239" s="145" t="str">
        <f>IF(C239="","",VLOOKUP('Opći dio'!$C$3,'Opći dio'!$L$6:$U$136,10,FALSE))</f>
        <v/>
      </c>
      <c r="B239" s="145" t="str">
        <f>IF(C239="","",VLOOKUP('Opći dio'!$C$3,'Opći dio'!$L$6:$U$136,9,FALSE))</f>
        <v/>
      </c>
      <c r="C239" s="151"/>
      <c r="D239" s="146" t="str">
        <f t="shared" si="28"/>
        <v/>
      </c>
      <c r="E239" s="151"/>
      <c r="F239" s="146" t="str">
        <f t="shared" si="29"/>
        <v/>
      </c>
      <c r="G239" s="186"/>
      <c r="H239" s="146" t="str">
        <f t="shared" si="30"/>
        <v/>
      </c>
      <c r="I239" s="185"/>
      <c r="J239" s="185"/>
      <c r="K239" s="185"/>
      <c r="M239" s="141" t="str">
        <f t="shared" si="31"/>
        <v/>
      </c>
      <c r="N239" s="141" t="str">
        <f t="shared" si="32"/>
        <v/>
      </c>
    </row>
    <row r="240" spans="1:14">
      <c r="A240" s="145" t="str">
        <f>IF(C240="","",VLOOKUP('Opći dio'!$C$3,'Opći dio'!$L$6:$U$136,10,FALSE))</f>
        <v/>
      </c>
      <c r="B240" s="145" t="str">
        <f>IF(C240="","",VLOOKUP('Opći dio'!$C$3,'Opći dio'!$L$6:$U$136,9,FALSE))</f>
        <v/>
      </c>
      <c r="C240" s="151"/>
      <c r="D240" s="146" t="str">
        <f t="shared" si="28"/>
        <v/>
      </c>
      <c r="E240" s="151"/>
      <c r="F240" s="146" t="str">
        <f t="shared" si="29"/>
        <v/>
      </c>
      <c r="G240" s="186"/>
      <c r="H240" s="146" t="str">
        <f t="shared" si="30"/>
        <v/>
      </c>
      <c r="I240" s="185"/>
      <c r="J240" s="185"/>
      <c r="K240" s="185"/>
      <c r="M240" s="141" t="str">
        <f t="shared" si="31"/>
        <v/>
      </c>
      <c r="N240" s="141" t="str">
        <f t="shared" si="32"/>
        <v/>
      </c>
    </row>
    <row r="241" spans="1:14">
      <c r="A241" s="145" t="str">
        <f>IF(C241="","",VLOOKUP('Opći dio'!$C$3,'Opći dio'!$L$6:$U$136,10,FALSE))</f>
        <v/>
      </c>
      <c r="B241" s="145" t="str">
        <f>IF(C241="","",VLOOKUP('Opći dio'!$C$3,'Opći dio'!$L$6:$U$136,9,FALSE))</f>
        <v/>
      </c>
      <c r="C241" s="151"/>
      <c r="D241" s="146" t="str">
        <f t="shared" si="28"/>
        <v/>
      </c>
      <c r="E241" s="151"/>
      <c r="F241" s="146" t="str">
        <f t="shared" si="29"/>
        <v/>
      </c>
      <c r="G241" s="186"/>
      <c r="H241" s="146" t="str">
        <f t="shared" si="30"/>
        <v/>
      </c>
      <c r="I241" s="185"/>
      <c r="J241" s="185"/>
      <c r="K241" s="185"/>
      <c r="M241" s="141" t="str">
        <f t="shared" si="31"/>
        <v/>
      </c>
      <c r="N241" s="141" t="str">
        <f t="shared" si="32"/>
        <v/>
      </c>
    </row>
    <row r="242" spans="1:14">
      <c r="A242" s="145" t="str">
        <f>IF(C242="","",VLOOKUP('Opći dio'!$C$3,'Opći dio'!$L$6:$U$136,10,FALSE))</f>
        <v/>
      </c>
      <c r="B242" s="145" t="str">
        <f>IF(C242="","",VLOOKUP('Opći dio'!$C$3,'Opći dio'!$L$6:$U$136,9,FALSE))</f>
        <v/>
      </c>
      <c r="C242" s="151"/>
      <c r="D242" s="146" t="str">
        <f t="shared" si="28"/>
        <v/>
      </c>
      <c r="E242" s="151"/>
      <c r="F242" s="146" t="str">
        <f t="shared" si="29"/>
        <v/>
      </c>
      <c r="G242" s="186"/>
      <c r="H242" s="146" t="str">
        <f t="shared" si="30"/>
        <v/>
      </c>
      <c r="I242" s="185"/>
      <c r="J242" s="185"/>
      <c r="K242" s="185"/>
      <c r="M242" s="141" t="str">
        <f t="shared" si="31"/>
        <v/>
      </c>
      <c r="N242" s="141" t="str">
        <f t="shared" si="32"/>
        <v/>
      </c>
    </row>
    <row r="243" spans="1:14">
      <c r="A243" s="145" t="str">
        <f>IF(C243="","",VLOOKUP('Opći dio'!$C$3,'Opći dio'!$L$6:$U$136,10,FALSE))</f>
        <v/>
      </c>
      <c r="B243" s="145" t="str">
        <f>IF(C243="","",VLOOKUP('Opći dio'!$C$3,'Opći dio'!$L$6:$U$136,9,FALSE))</f>
        <v/>
      </c>
      <c r="C243" s="151"/>
      <c r="D243" s="146" t="str">
        <f t="shared" si="28"/>
        <v/>
      </c>
      <c r="E243" s="151"/>
      <c r="F243" s="146" t="str">
        <f t="shared" si="29"/>
        <v/>
      </c>
      <c r="G243" s="186"/>
      <c r="H243" s="146" t="str">
        <f t="shared" si="30"/>
        <v/>
      </c>
      <c r="I243" s="185"/>
      <c r="J243" s="185"/>
      <c r="K243" s="185"/>
      <c r="M243" s="141" t="str">
        <f t="shared" si="31"/>
        <v/>
      </c>
      <c r="N243" s="141" t="str">
        <f t="shared" si="32"/>
        <v/>
      </c>
    </row>
    <row r="244" spans="1:14">
      <c r="A244" s="145" t="str">
        <f>IF(C244="","",VLOOKUP('Opći dio'!$C$3,'Opći dio'!$L$6:$U$136,10,FALSE))</f>
        <v/>
      </c>
      <c r="B244" s="145" t="str">
        <f>IF(C244="","",VLOOKUP('Opći dio'!$C$3,'Opći dio'!$L$6:$U$136,9,FALSE))</f>
        <v/>
      </c>
      <c r="C244" s="151"/>
      <c r="D244" s="146" t="str">
        <f t="shared" si="28"/>
        <v/>
      </c>
      <c r="E244" s="151"/>
      <c r="F244" s="146" t="str">
        <f t="shared" si="29"/>
        <v/>
      </c>
      <c r="G244" s="186"/>
      <c r="H244" s="146" t="str">
        <f t="shared" si="30"/>
        <v/>
      </c>
      <c r="I244" s="185"/>
      <c r="J244" s="185"/>
      <c r="K244" s="185"/>
      <c r="M244" s="141" t="str">
        <f t="shared" si="31"/>
        <v/>
      </c>
      <c r="N244" s="141" t="str">
        <f t="shared" si="32"/>
        <v/>
      </c>
    </row>
    <row r="245" spans="1:14">
      <c r="A245" s="145" t="str">
        <f>IF(C245="","",VLOOKUP('Opći dio'!$C$3,'Opći dio'!$L$6:$U$136,10,FALSE))</f>
        <v/>
      </c>
      <c r="B245" s="145" t="str">
        <f>IF(C245="","",VLOOKUP('Opći dio'!$C$3,'Opći dio'!$L$6:$U$136,9,FALSE))</f>
        <v/>
      </c>
      <c r="C245" s="151"/>
      <c r="D245" s="146" t="str">
        <f t="shared" si="28"/>
        <v/>
      </c>
      <c r="E245" s="151"/>
      <c r="F245" s="146" t="str">
        <f t="shared" si="29"/>
        <v/>
      </c>
      <c r="G245" s="186"/>
      <c r="H245" s="146" t="str">
        <f t="shared" si="30"/>
        <v/>
      </c>
      <c r="I245" s="185"/>
      <c r="J245" s="185"/>
      <c r="K245" s="185"/>
      <c r="M245" s="141" t="str">
        <f t="shared" si="31"/>
        <v/>
      </c>
      <c r="N245" s="141" t="str">
        <f t="shared" si="32"/>
        <v/>
      </c>
    </row>
    <row r="246" spans="1:14">
      <c r="A246" s="145" t="str">
        <f>IF(C246="","",VLOOKUP('Opći dio'!$C$3,'Opći dio'!$L$6:$U$136,10,FALSE))</f>
        <v/>
      </c>
      <c r="B246" s="145" t="str">
        <f>IF(C246="","",VLOOKUP('Opći dio'!$C$3,'Opći dio'!$L$6:$U$136,9,FALSE))</f>
        <v/>
      </c>
      <c r="C246" s="151"/>
      <c r="D246" s="146" t="str">
        <f t="shared" si="28"/>
        <v/>
      </c>
      <c r="E246" s="151"/>
      <c r="F246" s="146" t="str">
        <f t="shared" si="29"/>
        <v/>
      </c>
      <c r="G246" s="186"/>
      <c r="H246" s="146" t="str">
        <f t="shared" si="30"/>
        <v/>
      </c>
      <c r="I246" s="185"/>
      <c r="J246" s="185"/>
      <c r="K246" s="185"/>
      <c r="M246" s="141" t="str">
        <f t="shared" si="31"/>
        <v/>
      </c>
      <c r="N246" s="141" t="str">
        <f t="shared" si="32"/>
        <v/>
      </c>
    </row>
    <row r="247" spans="1:14">
      <c r="A247" s="145" t="str">
        <f>IF(C247="","",VLOOKUP('Opći dio'!$C$3,'Opći dio'!$L$6:$U$136,10,FALSE))</f>
        <v/>
      </c>
      <c r="B247" s="145" t="str">
        <f>IF(C247="","",VLOOKUP('Opći dio'!$C$3,'Opći dio'!$L$6:$U$136,9,FALSE))</f>
        <v/>
      </c>
      <c r="C247" s="151"/>
      <c r="D247" s="146" t="str">
        <f t="shared" si="28"/>
        <v/>
      </c>
      <c r="E247" s="151"/>
      <c r="F247" s="146" t="str">
        <f t="shared" si="29"/>
        <v/>
      </c>
      <c r="G247" s="186"/>
      <c r="H247" s="146" t="str">
        <f t="shared" si="30"/>
        <v/>
      </c>
      <c r="I247" s="185"/>
      <c r="J247" s="185"/>
      <c r="K247" s="185"/>
      <c r="M247" s="141" t="str">
        <f t="shared" si="31"/>
        <v/>
      </c>
      <c r="N247" s="141" t="str">
        <f t="shared" si="32"/>
        <v/>
      </c>
    </row>
    <row r="248" spans="1:14">
      <c r="A248" s="145" t="str">
        <f>IF(C248="","",VLOOKUP('Opći dio'!$C$3,'Opći dio'!$L$6:$U$136,10,FALSE))</f>
        <v/>
      </c>
      <c r="B248" s="145" t="str">
        <f>IF(C248="","",VLOOKUP('Opći dio'!$C$3,'Opći dio'!$L$6:$U$136,9,FALSE))</f>
        <v/>
      </c>
      <c r="C248" s="151"/>
      <c r="D248" s="146" t="str">
        <f t="shared" si="28"/>
        <v/>
      </c>
      <c r="E248" s="151"/>
      <c r="F248" s="146" t="str">
        <f t="shared" si="29"/>
        <v/>
      </c>
      <c r="G248" s="186"/>
      <c r="H248" s="146" t="str">
        <f t="shared" si="30"/>
        <v/>
      </c>
      <c r="I248" s="185"/>
      <c r="J248" s="185"/>
      <c r="K248" s="185"/>
      <c r="M248" s="141" t="str">
        <f t="shared" si="31"/>
        <v/>
      </c>
      <c r="N248" s="141" t="str">
        <f t="shared" si="32"/>
        <v/>
      </c>
    </row>
    <row r="249" spans="1:14">
      <c r="A249" s="145" t="str">
        <f>IF(C249="","",VLOOKUP('Opći dio'!$C$3,'Opći dio'!$L$6:$U$136,10,FALSE))</f>
        <v/>
      </c>
      <c r="B249" s="145" t="str">
        <f>IF(C249="","",VLOOKUP('Opći dio'!$C$3,'Opći dio'!$L$6:$U$136,9,FALSE))</f>
        <v/>
      </c>
      <c r="C249" s="151"/>
      <c r="D249" s="146" t="str">
        <f t="shared" si="28"/>
        <v/>
      </c>
      <c r="E249" s="151"/>
      <c r="F249" s="146" t="str">
        <f t="shared" si="29"/>
        <v/>
      </c>
      <c r="G249" s="186"/>
      <c r="H249" s="146" t="str">
        <f t="shared" si="30"/>
        <v/>
      </c>
      <c r="I249" s="185"/>
      <c r="J249" s="185"/>
      <c r="K249" s="185"/>
      <c r="M249" s="141" t="str">
        <f t="shared" si="31"/>
        <v/>
      </c>
      <c r="N249" s="141" t="str">
        <f t="shared" si="32"/>
        <v/>
      </c>
    </row>
    <row r="250" spans="1:14">
      <c r="A250" s="145" t="str">
        <f>IF(C250="","",VLOOKUP('Opći dio'!$C$3,'Opći dio'!$L$6:$U$136,10,FALSE))</f>
        <v/>
      </c>
      <c r="B250" s="145" t="str">
        <f>IF(C250="","",VLOOKUP('Opći dio'!$C$3,'Opći dio'!$L$6:$U$136,9,FALSE))</f>
        <v/>
      </c>
      <c r="C250" s="151"/>
      <c r="D250" s="146" t="str">
        <f t="shared" si="28"/>
        <v/>
      </c>
      <c r="E250" s="151"/>
      <c r="F250" s="146" t="str">
        <f t="shared" si="29"/>
        <v/>
      </c>
      <c r="G250" s="186"/>
      <c r="H250" s="146" t="str">
        <f t="shared" si="30"/>
        <v/>
      </c>
      <c r="I250" s="185"/>
      <c r="J250" s="185"/>
      <c r="K250" s="185"/>
      <c r="M250" s="141" t="str">
        <f t="shared" si="31"/>
        <v/>
      </c>
      <c r="N250" s="141" t="str">
        <f t="shared" si="32"/>
        <v/>
      </c>
    </row>
    <row r="251" spans="1:14">
      <c r="A251" s="145" t="str">
        <f>IF(C251="","",VLOOKUP('Opći dio'!$C$3,'Opći dio'!$L$6:$U$136,10,FALSE))</f>
        <v/>
      </c>
      <c r="B251" s="145" t="str">
        <f>IF(C251="","",VLOOKUP('Opći dio'!$C$3,'Opći dio'!$L$6:$U$136,9,FALSE))</f>
        <v/>
      </c>
      <c r="C251" s="151"/>
      <c r="D251" s="146" t="str">
        <f t="shared" si="28"/>
        <v/>
      </c>
      <c r="E251" s="151"/>
      <c r="F251" s="146" t="str">
        <f t="shared" si="29"/>
        <v/>
      </c>
      <c r="G251" s="186"/>
      <c r="H251" s="146" t="str">
        <f t="shared" si="30"/>
        <v/>
      </c>
      <c r="I251" s="185"/>
      <c r="J251" s="185"/>
      <c r="K251" s="185"/>
      <c r="M251" s="141" t="str">
        <f t="shared" si="31"/>
        <v/>
      </c>
      <c r="N251" s="141" t="str">
        <f t="shared" si="32"/>
        <v/>
      </c>
    </row>
    <row r="252" spans="1:14">
      <c r="A252" s="145" t="str">
        <f>IF(C252="","",VLOOKUP('Opći dio'!$C$3,'Opći dio'!$L$6:$U$136,10,FALSE))</f>
        <v/>
      </c>
      <c r="B252" s="145" t="str">
        <f>IF(C252="","",VLOOKUP('Opći dio'!$C$3,'Opći dio'!$L$6:$U$136,9,FALSE))</f>
        <v/>
      </c>
      <c r="C252" s="151"/>
      <c r="D252" s="146" t="str">
        <f t="shared" si="28"/>
        <v/>
      </c>
      <c r="E252" s="151"/>
      <c r="F252" s="146" t="str">
        <f t="shared" si="29"/>
        <v/>
      </c>
      <c r="G252" s="186"/>
      <c r="H252" s="146" t="str">
        <f t="shared" si="30"/>
        <v/>
      </c>
      <c r="I252" s="185"/>
      <c r="J252" s="185"/>
      <c r="K252" s="185"/>
      <c r="M252" s="141" t="str">
        <f t="shared" si="31"/>
        <v/>
      </c>
      <c r="N252" s="141" t="str">
        <f t="shared" si="32"/>
        <v/>
      </c>
    </row>
    <row r="253" spans="1:14">
      <c r="A253" s="145" t="str">
        <f>IF(C253="","",VLOOKUP('Opći dio'!$C$3,'Opći dio'!$L$6:$U$136,10,FALSE))</f>
        <v/>
      </c>
      <c r="B253" s="145" t="str">
        <f>IF(C253="","",VLOOKUP('Opći dio'!$C$3,'Opći dio'!$L$6:$U$136,9,FALSE))</f>
        <v/>
      </c>
      <c r="C253" s="151"/>
      <c r="D253" s="146" t="str">
        <f t="shared" si="28"/>
        <v/>
      </c>
      <c r="E253" s="151"/>
      <c r="F253" s="146" t="str">
        <f t="shared" si="29"/>
        <v/>
      </c>
      <c r="G253" s="186"/>
      <c r="H253" s="146" t="str">
        <f t="shared" si="30"/>
        <v/>
      </c>
      <c r="I253" s="185"/>
      <c r="J253" s="185"/>
      <c r="K253" s="185"/>
      <c r="M253" s="141" t="str">
        <f t="shared" si="31"/>
        <v/>
      </c>
      <c r="N253" s="141" t="str">
        <f t="shared" si="32"/>
        <v/>
      </c>
    </row>
    <row r="254" spans="1:14">
      <c r="A254" s="145" t="str">
        <f>IF(C254="","",VLOOKUP('Opći dio'!$C$3,'Opći dio'!$L$6:$U$136,10,FALSE))</f>
        <v/>
      </c>
      <c r="B254" s="145" t="str">
        <f>IF(C254="","",VLOOKUP('Opći dio'!$C$3,'Opći dio'!$L$6:$U$136,9,FALSE))</f>
        <v/>
      </c>
      <c r="C254" s="151"/>
      <c r="D254" s="146" t="str">
        <f t="shared" si="28"/>
        <v/>
      </c>
      <c r="E254" s="151"/>
      <c r="F254" s="146" t="str">
        <f t="shared" si="29"/>
        <v/>
      </c>
      <c r="G254" s="186"/>
      <c r="H254" s="146" t="str">
        <f t="shared" si="30"/>
        <v/>
      </c>
      <c r="I254" s="185"/>
      <c r="J254" s="185"/>
      <c r="K254" s="185"/>
      <c r="M254" s="141" t="str">
        <f t="shared" si="31"/>
        <v/>
      </c>
      <c r="N254" s="141" t="str">
        <f t="shared" si="32"/>
        <v/>
      </c>
    </row>
    <row r="255" spans="1:14">
      <c r="A255" s="145" t="str">
        <f>IF(C255="","",VLOOKUP('Opći dio'!$C$3,'Opći dio'!$L$6:$U$136,10,FALSE))</f>
        <v/>
      </c>
      <c r="B255" s="145" t="str">
        <f>IF(C255="","",VLOOKUP('Opći dio'!$C$3,'Opći dio'!$L$6:$U$136,9,FALSE))</f>
        <v/>
      </c>
      <c r="C255" s="151"/>
      <c r="D255" s="146" t="str">
        <f t="shared" si="28"/>
        <v/>
      </c>
      <c r="E255" s="151"/>
      <c r="F255" s="146" t="str">
        <f t="shared" si="29"/>
        <v/>
      </c>
      <c r="G255" s="186"/>
      <c r="H255" s="146" t="str">
        <f t="shared" si="30"/>
        <v/>
      </c>
      <c r="I255" s="185"/>
      <c r="J255" s="185"/>
      <c r="K255" s="185"/>
      <c r="M255" s="141" t="str">
        <f t="shared" si="31"/>
        <v/>
      </c>
      <c r="N255" s="141" t="str">
        <f t="shared" si="32"/>
        <v/>
      </c>
    </row>
    <row r="256" spans="1:14">
      <c r="A256" s="145" t="str">
        <f>IF(C256="","",VLOOKUP('Opći dio'!$C$3,'Opći dio'!$L$6:$U$136,10,FALSE))</f>
        <v/>
      </c>
      <c r="B256" s="145" t="str">
        <f>IF(C256="","",VLOOKUP('Opći dio'!$C$3,'Opći dio'!$L$6:$U$136,9,FALSE))</f>
        <v/>
      </c>
      <c r="C256" s="151"/>
      <c r="D256" s="146" t="str">
        <f t="shared" si="28"/>
        <v/>
      </c>
      <c r="E256" s="151"/>
      <c r="F256" s="146" t="str">
        <f t="shared" si="29"/>
        <v/>
      </c>
      <c r="G256" s="186"/>
      <c r="H256" s="146" t="str">
        <f t="shared" si="30"/>
        <v/>
      </c>
      <c r="I256" s="185"/>
      <c r="J256" s="185"/>
      <c r="K256" s="185"/>
      <c r="M256" s="141" t="str">
        <f t="shared" si="31"/>
        <v/>
      </c>
      <c r="N256" s="141" t="str">
        <f t="shared" si="32"/>
        <v/>
      </c>
    </row>
    <row r="257" spans="1:14">
      <c r="A257" s="145" t="str">
        <f>IF(C257="","",VLOOKUP('Opći dio'!$C$3,'Opći dio'!$L$6:$U$136,10,FALSE))</f>
        <v/>
      </c>
      <c r="B257" s="145" t="str">
        <f>IF(C257="","",VLOOKUP('Opći dio'!$C$3,'Opći dio'!$L$6:$U$136,9,FALSE))</f>
        <v/>
      </c>
      <c r="C257" s="151"/>
      <c r="D257" s="146" t="str">
        <f t="shared" si="28"/>
        <v/>
      </c>
      <c r="E257" s="151"/>
      <c r="F257" s="146" t="str">
        <f t="shared" si="29"/>
        <v/>
      </c>
      <c r="G257" s="186"/>
      <c r="H257" s="146" t="str">
        <f t="shared" si="30"/>
        <v/>
      </c>
      <c r="I257" s="185"/>
      <c r="J257" s="185"/>
      <c r="K257" s="185"/>
      <c r="M257" s="141" t="str">
        <f t="shared" si="31"/>
        <v/>
      </c>
      <c r="N257" s="141" t="str">
        <f t="shared" si="32"/>
        <v/>
      </c>
    </row>
    <row r="258" spans="1:14">
      <c r="A258" s="145" t="str">
        <f>IF(C258="","",VLOOKUP('Opći dio'!$C$3,'Opći dio'!$L$6:$U$136,10,FALSE))</f>
        <v/>
      </c>
      <c r="B258" s="145" t="str">
        <f>IF(C258="","",VLOOKUP('Opći dio'!$C$3,'Opći dio'!$L$6:$U$136,9,FALSE))</f>
        <v/>
      </c>
      <c r="C258" s="151"/>
      <c r="D258" s="146" t="str">
        <f t="shared" si="28"/>
        <v/>
      </c>
      <c r="E258" s="151"/>
      <c r="F258" s="146" t="str">
        <f t="shared" si="29"/>
        <v/>
      </c>
      <c r="G258" s="186"/>
      <c r="H258" s="146" t="str">
        <f t="shared" si="30"/>
        <v/>
      </c>
      <c r="I258" s="185"/>
      <c r="J258" s="185"/>
      <c r="K258" s="185"/>
      <c r="M258" s="141" t="str">
        <f t="shared" si="31"/>
        <v/>
      </c>
      <c r="N258" s="141" t="str">
        <f t="shared" si="32"/>
        <v/>
      </c>
    </row>
    <row r="259" spans="1:14">
      <c r="A259" s="145" t="str">
        <f>IF(C259="","",VLOOKUP('Opći dio'!$C$3,'Opći dio'!$L$6:$U$136,10,FALSE))</f>
        <v/>
      </c>
      <c r="B259" s="145" t="str">
        <f>IF(C259="","",VLOOKUP('Opći dio'!$C$3,'Opći dio'!$L$6:$U$136,9,FALSE))</f>
        <v/>
      </c>
      <c r="C259" s="151"/>
      <c r="D259" s="146" t="str">
        <f t="shared" si="28"/>
        <v/>
      </c>
      <c r="E259" s="151"/>
      <c r="F259" s="146" t="str">
        <f t="shared" si="29"/>
        <v/>
      </c>
      <c r="G259" s="186"/>
      <c r="H259" s="146" t="str">
        <f t="shared" si="30"/>
        <v/>
      </c>
      <c r="I259" s="185"/>
      <c r="J259" s="185"/>
      <c r="K259" s="185"/>
      <c r="M259" s="141" t="str">
        <f t="shared" si="31"/>
        <v/>
      </c>
      <c r="N259" s="141" t="str">
        <f t="shared" si="32"/>
        <v/>
      </c>
    </row>
    <row r="260" spans="1:14">
      <c r="A260" s="145" t="str">
        <f>IF(C260="","",VLOOKUP('Opći dio'!$C$3,'Opći dio'!$L$6:$U$136,10,FALSE))</f>
        <v/>
      </c>
      <c r="B260" s="145" t="str">
        <f>IF(C260="","",VLOOKUP('Opći dio'!$C$3,'Opći dio'!$L$6:$U$136,9,FALSE))</f>
        <v/>
      </c>
      <c r="C260" s="151"/>
      <c r="D260" s="146" t="str">
        <f t="shared" ref="D260:D323" si="33">IFERROR(VLOOKUP(C260,$O$6:$P$23,2,FALSE),"")</f>
        <v/>
      </c>
      <c r="E260" s="151"/>
      <c r="F260" s="146" t="str">
        <f t="shared" ref="F260:F323" si="34">IFERROR(VLOOKUP(E260,$R$5:$T$129,2,FALSE),"")</f>
        <v/>
      </c>
      <c r="G260" s="186"/>
      <c r="H260" s="146" t="str">
        <f t="shared" ref="H260:H323" si="35">IFERROR(VLOOKUP(G260,$X$6:$Y$200,2,FALSE),"")</f>
        <v/>
      </c>
      <c r="I260" s="185"/>
      <c r="J260" s="185"/>
      <c r="K260" s="185"/>
      <c r="M260" s="141" t="str">
        <f t="shared" ref="M260:M323" si="36">LEFT(E260,3)</f>
        <v/>
      </c>
      <c r="N260" s="141" t="str">
        <f t="shared" ref="N260:N323" si="37">LEFT(E260,2)</f>
        <v/>
      </c>
    </row>
    <row r="261" spans="1:14">
      <c r="A261" s="145" t="str">
        <f>IF(C261="","",VLOOKUP('Opći dio'!$C$3,'Opći dio'!$L$6:$U$136,10,FALSE))</f>
        <v/>
      </c>
      <c r="B261" s="145" t="str">
        <f>IF(C261="","",VLOOKUP('Opći dio'!$C$3,'Opći dio'!$L$6:$U$136,9,FALSE))</f>
        <v/>
      </c>
      <c r="C261" s="151"/>
      <c r="D261" s="146" t="str">
        <f t="shared" si="33"/>
        <v/>
      </c>
      <c r="E261" s="151"/>
      <c r="F261" s="146" t="str">
        <f t="shared" si="34"/>
        <v/>
      </c>
      <c r="G261" s="186"/>
      <c r="H261" s="146" t="str">
        <f t="shared" si="35"/>
        <v/>
      </c>
      <c r="I261" s="185"/>
      <c r="J261" s="185"/>
      <c r="K261" s="185"/>
      <c r="M261" s="141" t="str">
        <f t="shared" si="36"/>
        <v/>
      </c>
      <c r="N261" s="141" t="str">
        <f t="shared" si="37"/>
        <v/>
      </c>
    </row>
    <row r="262" spans="1:14">
      <c r="A262" s="145" t="str">
        <f>IF(C262="","",VLOOKUP('Opći dio'!$C$3,'Opći dio'!$L$6:$U$136,10,FALSE))</f>
        <v/>
      </c>
      <c r="B262" s="145" t="str">
        <f>IF(C262="","",VLOOKUP('Opći dio'!$C$3,'Opći dio'!$L$6:$U$136,9,FALSE))</f>
        <v/>
      </c>
      <c r="C262" s="151"/>
      <c r="D262" s="146" t="str">
        <f t="shared" si="33"/>
        <v/>
      </c>
      <c r="E262" s="151"/>
      <c r="F262" s="146" t="str">
        <f t="shared" si="34"/>
        <v/>
      </c>
      <c r="G262" s="186"/>
      <c r="H262" s="146" t="str">
        <f t="shared" si="35"/>
        <v/>
      </c>
      <c r="I262" s="185"/>
      <c r="J262" s="185"/>
      <c r="K262" s="185"/>
      <c r="M262" s="141" t="str">
        <f t="shared" si="36"/>
        <v/>
      </c>
      <c r="N262" s="141" t="str">
        <f t="shared" si="37"/>
        <v/>
      </c>
    </row>
    <row r="263" spans="1:14">
      <c r="A263" s="145" t="str">
        <f>IF(C263="","",VLOOKUP('Opći dio'!$C$3,'Opći dio'!$L$6:$U$136,10,FALSE))</f>
        <v/>
      </c>
      <c r="B263" s="145" t="str">
        <f>IF(C263="","",VLOOKUP('Opći dio'!$C$3,'Opći dio'!$L$6:$U$136,9,FALSE))</f>
        <v/>
      </c>
      <c r="C263" s="151"/>
      <c r="D263" s="146" t="str">
        <f t="shared" si="33"/>
        <v/>
      </c>
      <c r="E263" s="151"/>
      <c r="F263" s="146" t="str">
        <f t="shared" si="34"/>
        <v/>
      </c>
      <c r="G263" s="186"/>
      <c r="H263" s="146" t="str">
        <f t="shared" si="35"/>
        <v/>
      </c>
      <c r="I263" s="185"/>
      <c r="J263" s="185"/>
      <c r="K263" s="185"/>
      <c r="M263" s="141" t="str">
        <f t="shared" si="36"/>
        <v/>
      </c>
      <c r="N263" s="141" t="str">
        <f t="shared" si="37"/>
        <v/>
      </c>
    </row>
    <row r="264" spans="1:14">
      <c r="A264" s="145" t="str">
        <f>IF(C264="","",VLOOKUP('Opći dio'!$C$3,'Opći dio'!$L$6:$U$136,10,FALSE))</f>
        <v/>
      </c>
      <c r="B264" s="145" t="str">
        <f>IF(C264="","",VLOOKUP('Opći dio'!$C$3,'Opći dio'!$L$6:$U$136,9,FALSE))</f>
        <v/>
      </c>
      <c r="C264" s="151"/>
      <c r="D264" s="146" t="str">
        <f t="shared" si="33"/>
        <v/>
      </c>
      <c r="E264" s="151"/>
      <c r="F264" s="146" t="str">
        <f t="shared" si="34"/>
        <v/>
      </c>
      <c r="G264" s="186"/>
      <c r="H264" s="146" t="str">
        <f t="shared" si="35"/>
        <v/>
      </c>
      <c r="I264" s="185"/>
      <c r="J264" s="185"/>
      <c r="K264" s="185"/>
      <c r="M264" s="141" t="str">
        <f t="shared" si="36"/>
        <v/>
      </c>
      <c r="N264" s="141" t="str">
        <f t="shared" si="37"/>
        <v/>
      </c>
    </row>
    <row r="265" spans="1:14">
      <c r="A265" s="145" t="str">
        <f>IF(C265="","",VLOOKUP('Opći dio'!$C$3,'Opći dio'!$L$6:$U$136,10,FALSE))</f>
        <v/>
      </c>
      <c r="B265" s="145" t="str">
        <f>IF(C265="","",VLOOKUP('Opći dio'!$C$3,'Opći dio'!$L$6:$U$136,9,FALSE))</f>
        <v/>
      </c>
      <c r="C265" s="151"/>
      <c r="D265" s="146" t="str">
        <f t="shared" si="33"/>
        <v/>
      </c>
      <c r="E265" s="151"/>
      <c r="F265" s="146" t="str">
        <f t="shared" si="34"/>
        <v/>
      </c>
      <c r="G265" s="186"/>
      <c r="H265" s="146" t="str">
        <f t="shared" si="35"/>
        <v/>
      </c>
      <c r="I265" s="185"/>
      <c r="J265" s="185"/>
      <c r="K265" s="185"/>
      <c r="M265" s="141" t="str">
        <f t="shared" si="36"/>
        <v/>
      </c>
      <c r="N265" s="141" t="str">
        <f t="shared" si="37"/>
        <v/>
      </c>
    </row>
    <row r="266" spans="1:14">
      <c r="A266" s="145" t="str">
        <f>IF(C266="","",VLOOKUP('Opći dio'!$C$3,'Opći dio'!$L$6:$U$136,10,FALSE))</f>
        <v/>
      </c>
      <c r="B266" s="145" t="str">
        <f>IF(C266="","",VLOOKUP('Opći dio'!$C$3,'Opći dio'!$L$6:$U$136,9,FALSE))</f>
        <v/>
      </c>
      <c r="C266" s="151"/>
      <c r="D266" s="146" t="str">
        <f t="shared" si="33"/>
        <v/>
      </c>
      <c r="E266" s="151"/>
      <c r="F266" s="146" t="str">
        <f t="shared" si="34"/>
        <v/>
      </c>
      <c r="G266" s="186"/>
      <c r="H266" s="146" t="str">
        <f t="shared" si="35"/>
        <v/>
      </c>
      <c r="I266" s="185"/>
      <c r="J266" s="185"/>
      <c r="K266" s="185"/>
      <c r="M266" s="141" t="str">
        <f t="shared" si="36"/>
        <v/>
      </c>
      <c r="N266" s="141" t="str">
        <f t="shared" si="37"/>
        <v/>
      </c>
    </row>
    <row r="267" spans="1:14">
      <c r="A267" s="145" t="str">
        <f>IF(C267="","",VLOOKUP('Opći dio'!$C$3,'Opći dio'!$L$6:$U$136,10,FALSE))</f>
        <v/>
      </c>
      <c r="B267" s="145" t="str">
        <f>IF(C267="","",VLOOKUP('Opći dio'!$C$3,'Opći dio'!$L$6:$U$136,9,FALSE))</f>
        <v/>
      </c>
      <c r="C267" s="151"/>
      <c r="D267" s="146" t="str">
        <f t="shared" si="33"/>
        <v/>
      </c>
      <c r="E267" s="151"/>
      <c r="F267" s="146" t="str">
        <f t="shared" si="34"/>
        <v/>
      </c>
      <c r="G267" s="186"/>
      <c r="H267" s="146" t="str">
        <f t="shared" si="35"/>
        <v/>
      </c>
      <c r="I267" s="185"/>
      <c r="J267" s="185"/>
      <c r="K267" s="185"/>
      <c r="M267" s="141" t="str">
        <f t="shared" si="36"/>
        <v/>
      </c>
      <c r="N267" s="141" t="str">
        <f t="shared" si="37"/>
        <v/>
      </c>
    </row>
    <row r="268" spans="1:14">
      <c r="A268" s="145" t="str">
        <f>IF(C268="","",VLOOKUP('Opći dio'!$C$3,'Opći dio'!$L$6:$U$136,10,FALSE))</f>
        <v/>
      </c>
      <c r="B268" s="145" t="str">
        <f>IF(C268="","",VLOOKUP('Opći dio'!$C$3,'Opći dio'!$L$6:$U$136,9,FALSE))</f>
        <v/>
      </c>
      <c r="C268" s="151"/>
      <c r="D268" s="146" t="str">
        <f t="shared" si="33"/>
        <v/>
      </c>
      <c r="E268" s="151"/>
      <c r="F268" s="146" t="str">
        <f t="shared" si="34"/>
        <v/>
      </c>
      <c r="G268" s="186"/>
      <c r="H268" s="146" t="str">
        <f t="shared" si="35"/>
        <v/>
      </c>
      <c r="I268" s="185"/>
      <c r="J268" s="185"/>
      <c r="K268" s="185"/>
      <c r="M268" s="141" t="str">
        <f t="shared" si="36"/>
        <v/>
      </c>
      <c r="N268" s="141" t="str">
        <f t="shared" si="37"/>
        <v/>
      </c>
    </row>
    <row r="269" spans="1:14">
      <c r="A269" s="145" t="str">
        <f>IF(C269="","",VLOOKUP('Opći dio'!$C$3,'Opći dio'!$L$6:$U$136,10,FALSE))</f>
        <v/>
      </c>
      <c r="B269" s="145" t="str">
        <f>IF(C269="","",VLOOKUP('Opći dio'!$C$3,'Opći dio'!$L$6:$U$136,9,FALSE))</f>
        <v/>
      </c>
      <c r="C269" s="151"/>
      <c r="D269" s="146" t="str">
        <f t="shared" si="33"/>
        <v/>
      </c>
      <c r="E269" s="151"/>
      <c r="F269" s="146" t="str">
        <f t="shared" si="34"/>
        <v/>
      </c>
      <c r="G269" s="186"/>
      <c r="H269" s="146" t="str">
        <f t="shared" si="35"/>
        <v/>
      </c>
      <c r="I269" s="185"/>
      <c r="J269" s="185"/>
      <c r="K269" s="185"/>
      <c r="M269" s="141" t="str">
        <f t="shared" si="36"/>
        <v/>
      </c>
      <c r="N269" s="141" t="str">
        <f t="shared" si="37"/>
        <v/>
      </c>
    </row>
    <row r="270" spans="1:14">
      <c r="A270" s="145" t="str">
        <f>IF(C270="","",VLOOKUP('Opći dio'!$C$3,'Opći dio'!$L$6:$U$136,10,FALSE))</f>
        <v/>
      </c>
      <c r="B270" s="145" t="str">
        <f>IF(C270="","",VLOOKUP('Opći dio'!$C$3,'Opći dio'!$L$6:$U$136,9,FALSE))</f>
        <v/>
      </c>
      <c r="C270" s="151"/>
      <c r="D270" s="146" t="str">
        <f t="shared" si="33"/>
        <v/>
      </c>
      <c r="E270" s="151"/>
      <c r="F270" s="146" t="str">
        <f t="shared" si="34"/>
        <v/>
      </c>
      <c r="G270" s="186"/>
      <c r="H270" s="146" t="str">
        <f t="shared" si="35"/>
        <v/>
      </c>
      <c r="I270" s="185"/>
      <c r="J270" s="185"/>
      <c r="K270" s="185"/>
      <c r="M270" s="141" t="str">
        <f t="shared" si="36"/>
        <v/>
      </c>
      <c r="N270" s="141" t="str">
        <f t="shared" si="37"/>
        <v/>
      </c>
    </row>
    <row r="271" spans="1:14">
      <c r="A271" s="145" t="str">
        <f>IF(C271="","",VLOOKUP('Opći dio'!$C$3,'Opći dio'!$L$6:$U$136,10,FALSE))</f>
        <v/>
      </c>
      <c r="B271" s="145" t="str">
        <f>IF(C271="","",VLOOKUP('Opći dio'!$C$3,'Opći dio'!$L$6:$U$136,9,FALSE))</f>
        <v/>
      </c>
      <c r="C271" s="151"/>
      <c r="D271" s="146" t="str">
        <f t="shared" si="33"/>
        <v/>
      </c>
      <c r="E271" s="151"/>
      <c r="F271" s="146" t="str">
        <f t="shared" si="34"/>
        <v/>
      </c>
      <c r="G271" s="186"/>
      <c r="H271" s="146" t="str">
        <f t="shared" si="35"/>
        <v/>
      </c>
      <c r="I271" s="185"/>
      <c r="J271" s="185"/>
      <c r="K271" s="185"/>
      <c r="M271" s="141" t="str">
        <f t="shared" si="36"/>
        <v/>
      </c>
      <c r="N271" s="141" t="str">
        <f t="shared" si="37"/>
        <v/>
      </c>
    </row>
    <row r="272" spans="1:14">
      <c r="A272" s="145" t="str">
        <f>IF(C272="","",VLOOKUP('Opći dio'!$C$3,'Opći dio'!$L$6:$U$136,10,FALSE))</f>
        <v/>
      </c>
      <c r="B272" s="145" t="str">
        <f>IF(C272="","",VLOOKUP('Opći dio'!$C$3,'Opći dio'!$L$6:$U$136,9,FALSE))</f>
        <v/>
      </c>
      <c r="C272" s="151"/>
      <c r="D272" s="146" t="str">
        <f t="shared" si="33"/>
        <v/>
      </c>
      <c r="E272" s="151"/>
      <c r="F272" s="146" t="str">
        <f t="shared" si="34"/>
        <v/>
      </c>
      <c r="G272" s="186"/>
      <c r="H272" s="146" t="str">
        <f t="shared" si="35"/>
        <v/>
      </c>
      <c r="I272" s="185"/>
      <c r="J272" s="185"/>
      <c r="K272" s="185"/>
      <c r="M272" s="141" t="str">
        <f t="shared" si="36"/>
        <v/>
      </c>
      <c r="N272" s="141" t="str">
        <f t="shared" si="37"/>
        <v/>
      </c>
    </row>
    <row r="273" spans="1:14">
      <c r="A273" s="145" t="str">
        <f>IF(C273="","",VLOOKUP('Opći dio'!$C$3,'Opći dio'!$L$6:$U$136,10,FALSE))</f>
        <v/>
      </c>
      <c r="B273" s="145" t="str">
        <f>IF(C273="","",VLOOKUP('Opći dio'!$C$3,'Opći dio'!$L$6:$U$136,9,FALSE))</f>
        <v/>
      </c>
      <c r="C273" s="151"/>
      <c r="D273" s="146" t="str">
        <f t="shared" si="33"/>
        <v/>
      </c>
      <c r="E273" s="151"/>
      <c r="F273" s="146" t="str">
        <f t="shared" si="34"/>
        <v/>
      </c>
      <c r="G273" s="186"/>
      <c r="H273" s="146" t="str">
        <f t="shared" si="35"/>
        <v/>
      </c>
      <c r="I273" s="185"/>
      <c r="J273" s="185"/>
      <c r="K273" s="185"/>
      <c r="M273" s="141" t="str">
        <f t="shared" si="36"/>
        <v/>
      </c>
      <c r="N273" s="141" t="str">
        <f t="shared" si="37"/>
        <v/>
      </c>
    </row>
    <row r="274" spans="1:14">
      <c r="A274" s="145" t="str">
        <f>IF(C274="","",VLOOKUP('Opći dio'!$C$3,'Opći dio'!$L$6:$U$136,10,FALSE))</f>
        <v/>
      </c>
      <c r="B274" s="145" t="str">
        <f>IF(C274="","",VLOOKUP('Opći dio'!$C$3,'Opći dio'!$L$6:$U$136,9,FALSE))</f>
        <v/>
      </c>
      <c r="C274" s="151"/>
      <c r="D274" s="146" t="str">
        <f t="shared" si="33"/>
        <v/>
      </c>
      <c r="E274" s="151"/>
      <c r="F274" s="146" t="str">
        <f t="shared" si="34"/>
        <v/>
      </c>
      <c r="G274" s="186"/>
      <c r="H274" s="146" t="str">
        <f t="shared" si="35"/>
        <v/>
      </c>
      <c r="I274" s="185"/>
      <c r="J274" s="185"/>
      <c r="K274" s="185"/>
      <c r="M274" s="141" t="str">
        <f t="shared" si="36"/>
        <v/>
      </c>
      <c r="N274" s="141" t="str">
        <f t="shared" si="37"/>
        <v/>
      </c>
    </row>
    <row r="275" spans="1:14">
      <c r="A275" s="145" t="str">
        <f>IF(C275="","",VLOOKUP('Opći dio'!$C$3,'Opći dio'!$L$6:$U$136,10,FALSE))</f>
        <v/>
      </c>
      <c r="B275" s="145" t="str">
        <f>IF(C275="","",VLOOKUP('Opći dio'!$C$3,'Opći dio'!$L$6:$U$136,9,FALSE))</f>
        <v/>
      </c>
      <c r="C275" s="151"/>
      <c r="D275" s="146" t="str">
        <f t="shared" si="33"/>
        <v/>
      </c>
      <c r="E275" s="151"/>
      <c r="F275" s="146" t="str">
        <f t="shared" si="34"/>
        <v/>
      </c>
      <c r="G275" s="186"/>
      <c r="H275" s="146" t="str">
        <f t="shared" si="35"/>
        <v/>
      </c>
      <c r="I275" s="185"/>
      <c r="J275" s="185"/>
      <c r="K275" s="185"/>
      <c r="M275" s="141" t="str">
        <f t="shared" si="36"/>
        <v/>
      </c>
      <c r="N275" s="141" t="str">
        <f t="shared" si="37"/>
        <v/>
      </c>
    </row>
    <row r="276" spans="1:14">
      <c r="A276" s="145" t="str">
        <f>IF(C276="","",VLOOKUP('Opći dio'!$C$3,'Opći dio'!$L$6:$U$136,10,FALSE))</f>
        <v/>
      </c>
      <c r="B276" s="145" t="str">
        <f>IF(C276="","",VLOOKUP('Opći dio'!$C$3,'Opći dio'!$L$6:$U$136,9,FALSE))</f>
        <v/>
      </c>
      <c r="C276" s="151"/>
      <c r="D276" s="146" t="str">
        <f t="shared" si="33"/>
        <v/>
      </c>
      <c r="E276" s="151"/>
      <c r="F276" s="146" t="str">
        <f t="shared" si="34"/>
        <v/>
      </c>
      <c r="G276" s="186"/>
      <c r="H276" s="146" t="str">
        <f t="shared" si="35"/>
        <v/>
      </c>
      <c r="I276" s="185"/>
      <c r="J276" s="185"/>
      <c r="K276" s="185"/>
      <c r="M276" s="141" t="str">
        <f t="shared" si="36"/>
        <v/>
      </c>
      <c r="N276" s="141" t="str">
        <f t="shared" si="37"/>
        <v/>
      </c>
    </row>
    <row r="277" spans="1:14">
      <c r="A277" s="145" t="str">
        <f>IF(C277="","",VLOOKUP('Opći dio'!$C$3,'Opći dio'!$L$6:$U$136,10,FALSE))</f>
        <v/>
      </c>
      <c r="B277" s="145" t="str">
        <f>IF(C277="","",VLOOKUP('Opći dio'!$C$3,'Opći dio'!$L$6:$U$136,9,FALSE))</f>
        <v/>
      </c>
      <c r="C277" s="151"/>
      <c r="D277" s="146" t="str">
        <f t="shared" si="33"/>
        <v/>
      </c>
      <c r="E277" s="151"/>
      <c r="F277" s="146" t="str">
        <f t="shared" si="34"/>
        <v/>
      </c>
      <c r="G277" s="186"/>
      <c r="H277" s="146" t="str">
        <f t="shared" si="35"/>
        <v/>
      </c>
      <c r="I277" s="185"/>
      <c r="J277" s="185"/>
      <c r="K277" s="185"/>
      <c r="M277" s="141" t="str">
        <f t="shared" si="36"/>
        <v/>
      </c>
      <c r="N277" s="141" t="str">
        <f t="shared" si="37"/>
        <v/>
      </c>
    </row>
    <row r="278" spans="1:14">
      <c r="A278" s="145" t="str">
        <f>IF(C278="","",VLOOKUP('Opći dio'!$C$3,'Opći dio'!$L$6:$U$136,10,FALSE))</f>
        <v/>
      </c>
      <c r="B278" s="145" t="str">
        <f>IF(C278="","",VLOOKUP('Opći dio'!$C$3,'Opći dio'!$L$6:$U$136,9,FALSE))</f>
        <v/>
      </c>
      <c r="C278" s="151"/>
      <c r="D278" s="146" t="str">
        <f t="shared" si="33"/>
        <v/>
      </c>
      <c r="E278" s="151"/>
      <c r="F278" s="146" t="str">
        <f t="shared" si="34"/>
        <v/>
      </c>
      <c r="G278" s="186"/>
      <c r="H278" s="146" t="str">
        <f t="shared" si="35"/>
        <v/>
      </c>
      <c r="I278" s="185"/>
      <c r="J278" s="185"/>
      <c r="K278" s="185"/>
      <c r="M278" s="141" t="str">
        <f t="shared" si="36"/>
        <v/>
      </c>
      <c r="N278" s="141" t="str">
        <f t="shared" si="37"/>
        <v/>
      </c>
    </row>
    <row r="279" spans="1:14">
      <c r="A279" s="145" t="str">
        <f>IF(C279="","",VLOOKUP('Opći dio'!$C$3,'Opći dio'!$L$6:$U$136,10,FALSE))</f>
        <v/>
      </c>
      <c r="B279" s="145" t="str">
        <f>IF(C279="","",VLOOKUP('Opći dio'!$C$3,'Opći dio'!$L$6:$U$136,9,FALSE))</f>
        <v/>
      </c>
      <c r="C279" s="151"/>
      <c r="D279" s="146" t="str">
        <f t="shared" si="33"/>
        <v/>
      </c>
      <c r="E279" s="151"/>
      <c r="F279" s="146" t="str">
        <f t="shared" si="34"/>
        <v/>
      </c>
      <c r="G279" s="186"/>
      <c r="H279" s="146" t="str">
        <f t="shared" si="35"/>
        <v/>
      </c>
      <c r="I279" s="185"/>
      <c r="J279" s="185"/>
      <c r="K279" s="185"/>
      <c r="M279" s="141" t="str">
        <f t="shared" si="36"/>
        <v/>
      </c>
      <c r="N279" s="141" t="str">
        <f t="shared" si="37"/>
        <v/>
      </c>
    </row>
    <row r="280" spans="1:14">
      <c r="A280" s="145" t="str">
        <f>IF(C280="","",VLOOKUP('Opći dio'!$C$3,'Opći dio'!$L$6:$U$136,10,FALSE))</f>
        <v/>
      </c>
      <c r="B280" s="145" t="str">
        <f>IF(C280="","",VLOOKUP('Opći dio'!$C$3,'Opći dio'!$L$6:$U$136,9,FALSE))</f>
        <v/>
      </c>
      <c r="C280" s="151"/>
      <c r="D280" s="146" t="str">
        <f t="shared" si="33"/>
        <v/>
      </c>
      <c r="E280" s="151"/>
      <c r="F280" s="146" t="str">
        <f t="shared" si="34"/>
        <v/>
      </c>
      <c r="G280" s="186"/>
      <c r="H280" s="146" t="str">
        <f t="shared" si="35"/>
        <v/>
      </c>
      <c r="I280" s="185"/>
      <c r="J280" s="185"/>
      <c r="K280" s="185"/>
      <c r="M280" s="141" t="str">
        <f t="shared" si="36"/>
        <v/>
      </c>
      <c r="N280" s="141" t="str">
        <f t="shared" si="37"/>
        <v/>
      </c>
    </row>
    <row r="281" spans="1:14">
      <c r="A281" s="145" t="str">
        <f>IF(C281="","",VLOOKUP('Opći dio'!$C$3,'Opći dio'!$L$6:$U$136,10,FALSE))</f>
        <v/>
      </c>
      <c r="B281" s="145" t="str">
        <f>IF(C281="","",VLOOKUP('Opći dio'!$C$3,'Opći dio'!$L$6:$U$136,9,FALSE))</f>
        <v/>
      </c>
      <c r="C281" s="151"/>
      <c r="D281" s="146" t="str">
        <f t="shared" si="33"/>
        <v/>
      </c>
      <c r="E281" s="151"/>
      <c r="F281" s="146" t="str">
        <f t="shared" si="34"/>
        <v/>
      </c>
      <c r="G281" s="186"/>
      <c r="H281" s="146" t="str">
        <f t="shared" si="35"/>
        <v/>
      </c>
      <c r="I281" s="185"/>
      <c r="J281" s="185"/>
      <c r="K281" s="185"/>
      <c r="M281" s="141" t="str">
        <f t="shared" si="36"/>
        <v/>
      </c>
      <c r="N281" s="141" t="str">
        <f t="shared" si="37"/>
        <v/>
      </c>
    </row>
    <row r="282" spans="1:14">
      <c r="A282" s="145" t="str">
        <f>IF(C282="","",VLOOKUP('Opći dio'!$C$3,'Opći dio'!$L$6:$U$136,10,FALSE))</f>
        <v/>
      </c>
      <c r="B282" s="145" t="str">
        <f>IF(C282="","",VLOOKUP('Opći dio'!$C$3,'Opći dio'!$L$6:$U$136,9,FALSE))</f>
        <v/>
      </c>
      <c r="C282" s="151"/>
      <c r="D282" s="146" t="str">
        <f t="shared" si="33"/>
        <v/>
      </c>
      <c r="E282" s="151"/>
      <c r="F282" s="146" t="str">
        <f t="shared" si="34"/>
        <v/>
      </c>
      <c r="G282" s="186"/>
      <c r="H282" s="146" t="str">
        <f t="shared" si="35"/>
        <v/>
      </c>
      <c r="I282" s="185"/>
      <c r="J282" s="185"/>
      <c r="K282" s="185"/>
      <c r="M282" s="141" t="str">
        <f t="shared" si="36"/>
        <v/>
      </c>
      <c r="N282" s="141" t="str">
        <f t="shared" si="37"/>
        <v/>
      </c>
    </row>
    <row r="283" spans="1:14">
      <c r="A283" s="145" t="str">
        <f>IF(C283="","",VLOOKUP('Opći dio'!$C$3,'Opći dio'!$L$6:$U$136,10,FALSE))</f>
        <v/>
      </c>
      <c r="B283" s="145" t="str">
        <f>IF(C283="","",VLOOKUP('Opći dio'!$C$3,'Opći dio'!$L$6:$U$136,9,FALSE))</f>
        <v/>
      </c>
      <c r="C283" s="151"/>
      <c r="D283" s="146" t="str">
        <f t="shared" si="33"/>
        <v/>
      </c>
      <c r="E283" s="151"/>
      <c r="F283" s="146" t="str">
        <f t="shared" si="34"/>
        <v/>
      </c>
      <c r="G283" s="186"/>
      <c r="H283" s="146" t="str">
        <f t="shared" si="35"/>
        <v/>
      </c>
      <c r="I283" s="185"/>
      <c r="J283" s="185"/>
      <c r="K283" s="185"/>
      <c r="M283" s="141" t="str">
        <f t="shared" si="36"/>
        <v/>
      </c>
      <c r="N283" s="141" t="str">
        <f t="shared" si="37"/>
        <v/>
      </c>
    </row>
    <row r="284" spans="1:14">
      <c r="A284" s="145" t="str">
        <f>IF(C284="","",VLOOKUP('Opći dio'!$C$3,'Opći dio'!$L$6:$U$136,10,FALSE))</f>
        <v/>
      </c>
      <c r="B284" s="145" t="str">
        <f>IF(C284="","",VLOOKUP('Opći dio'!$C$3,'Opći dio'!$L$6:$U$136,9,FALSE))</f>
        <v/>
      </c>
      <c r="C284" s="151"/>
      <c r="D284" s="146" t="str">
        <f t="shared" si="33"/>
        <v/>
      </c>
      <c r="E284" s="151"/>
      <c r="F284" s="146" t="str">
        <f t="shared" si="34"/>
        <v/>
      </c>
      <c r="G284" s="186"/>
      <c r="H284" s="146" t="str">
        <f t="shared" si="35"/>
        <v/>
      </c>
      <c r="I284" s="185"/>
      <c r="J284" s="185"/>
      <c r="K284" s="185"/>
      <c r="M284" s="141" t="str">
        <f t="shared" si="36"/>
        <v/>
      </c>
      <c r="N284" s="141" t="str">
        <f t="shared" si="37"/>
        <v/>
      </c>
    </row>
    <row r="285" spans="1:14">
      <c r="A285" s="145" t="str">
        <f>IF(C285="","",VLOOKUP('Opći dio'!$C$3,'Opći dio'!$L$6:$U$136,10,FALSE))</f>
        <v/>
      </c>
      <c r="B285" s="145" t="str">
        <f>IF(C285="","",VLOOKUP('Opći dio'!$C$3,'Opći dio'!$L$6:$U$136,9,FALSE))</f>
        <v/>
      </c>
      <c r="C285" s="151"/>
      <c r="D285" s="146" t="str">
        <f t="shared" si="33"/>
        <v/>
      </c>
      <c r="E285" s="151"/>
      <c r="F285" s="146" t="str">
        <f t="shared" si="34"/>
        <v/>
      </c>
      <c r="G285" s="186"/>
      <c r="H285" s="146" t="str">
        <f t="shared" si="35"/>
        <v/>
      </c>
      <c r="I285" s="185"/>
      <c r="J285" s="185"/>
      <c r="K285" s="185"/>
      <c r="M285" s="141" t="str">
        <f t="shared" si="36"/>
        <v/>
      </c>
      <c r="N285" s="141" t="str">
        <f t="shared" si="37"/>
        <v/>
      </c>
    </row>
    <row r="286" spans="1:14">
      <c r="A286" s="145" t="str">
        <f>IF(C286="","",VLOOKUP('Opći dio'!$C$3,'Opći dio'!$L$6:$U$136,10,FALSE))</f>
        <v/>
      </c>
      <c r="B286" s="145" t="str">
        <f>IF(C286="","",VLOOKUP('Opći dio'!$C$3,'Opći dio'!$L$6:$U$136,9,FALSE))</f>
        <v/>
      </c>
      <c r="C286" s="151"/>
      <c r="D286" s="146" t="str">
        <f t="shared" si="33"/>
        <v/>
      </c>
      <c r="E286" s="151"/>
      <c r="F286" s="146" t="str">
        <f t="shared" si="34"/>
        <v/>
      </c>
      <c r="G286" s="186"/>
      <c r="H286" s="146" t="str">
        <f t="shared" si="35"/>
        <v/>
      </c>
      <c r="I286" s="185"/>
      <c r="J286" s="185"/>
      <c r="K286" s="185"/>
      <c r="M286" s="141" t="str">
        <f t="shared" si="36"/>
        <v/>
      </c>
      <c r="N286" s="141" t="str">
        <f t="shared" si="37"/>
        <v/>
      </c>
    </row>
    <row r="287" spans="1:14">
      <c r="A287" s="145" t="str">
        <f>IF(C287="","",VLOOKUP('Opći dio'!$C$3,'Opći dio'!$L$6:$U$136,10,FALSE))</f>
        <v/>
      </c>
      <c r="B287" s="145" t="str">
        <f>IF(C287="","",VLOOKUP('Opći dio'!$C$3,'Opći dio'!$L$6:$U$136,9,FALSE))</f>
        <v/>
      </c>
      <c r="C287" s="151"/>
      <c r="D287" s="146" t="str">
        <f t="shared" si="33"/>
        <v/>
      </c>
      <c r="E287" s="151"/>
      <c r="F287" s="146" t="str">
        <f t="shared" si="34"/>
        <v/>
      </c>
      <c r="G287" s="186"/>
      <c r="H287" s="146" t="str">
        <f t="shared" si="35"/>
        <v/>
      </c>
      <c r="I287" s="185"/>
      <c r="J287" s="185"/>
      <c r="K287" s="185"/>
      <c r="M287" s="141" t="str">
        <f t="shared" si="36"/>
        <v/>
      </c>
      <c r="N287" s="141" t="str">
        <f t="shared" si="37"/>
        <v/>
      </c>
    </row>
    <row r="288" spans="1:14">
      <c r="A288" s="145" t="str">
        <f>IF(C288="","",VLOOKUP('Opći dio'!$C$3,'Opći dio'!$L$6:$U$136,10,FALSE))</f>
        <v/>
      </c>
      <c r="B288" s="145" t="str">
        <f>IF(C288="","",VLOOKUP('Opći dio'!$C$3,'Opći dio'!$L$6:$U$136,9,FALSE))</f>
        <v/>
      </c>
      <c r="C288" s="151"/>
      <c r="D288" s="146" t="str">
        <f t="shared" si="33"/>
        <v/>
      </c>
      <c r="E288" s="151"/>
      <c r="F288" s="146" t="str">
        <f t="shared" si="34"/>
        <v/>
      </c>
      <c r="G288" s="186"/>
      <c r="H288" s="146" t="str">
        <f t="shared" si="35"/>
        <v/>
      </c>
      <c r="I288" s="185"/>
      <c r="J288" s="185"/>
      <c r="K288" s="185"/>
      <c r="M288" s="141" t="str">
        <f t="shared" si="36"/>
        <v/>
      </c>
      <c r="N288" s="141" t="str">
        <f t="shared" si="37"/>
        <v/>
      </c>
    </row>
    <row r="289" spans="1:14">
      <c r="A289" s="145" t="str">
        <f>IF(C289="","",VLOOKUP('Opći dio'!$C$3,'Opći dio'!$L$6:$U$136,10,FALSE))</f>
        <v/>
      </c>
      <c r="B289" s="145" t="str">
        <f>IF(C289="","",VLOOKUP('Opći dio'!$C$3,'Opći dio'!$L$6:$U$136,9,FALSE))</f>
        <v/>
      </c>
      <c r="C289" s="151"/>
      <c r="D289" s="146" t="str">
        <f t="shared" si="33"/>
        <v/>
      </c>
      <c r="E289" s="151"/>
      <c r="F289" s="146" t="str">
        <f t="shared" si="34"/>
        <v/>
      </c>
      <c r="G289" s="186"/>
      <c r="H289" s="146" t="str">
        <f t="shared" si="35"/>
        <v/>
      </c>
      <c r="I289" s="185"/>
      <c r="J289" s="185"/>
      <c r="K289" s="185"/>
      <c r="M289" s="141" t="str">
        <f t="shared" si="36"/>
        <v/>
      </c>
      <c r="N289" s="141" t="str">
        <f t="shared" si="37"/>
        <v/>
      </c>
    </row>
    <row r="290" spans="1:14">
      <c r="A290" s="145" t="str">
        <f>IF(C290="","",VLOOKUP('Opći dio'!$C$3,'Opći dio'!$L$6:$U$136,10,FALSE))</f>
        <v/>
      </c>
      <c r="B290" s="145" t="str">
        <f>IF(C290="","",VLOOKUP('Opći dio'!$C$3,'Opći dio'!$L$6:$U$136,9,FALSE))</f>
        <v/>
      </c>
      <c r="C290" s="151"/>
      <c r="D290" s="146" t="str">
        <f t="shared" si="33"/>
        <v/>
      </c>
      <c r="E290" s="151"/>
      <c r="F290" s="146" t="str">
        <f t="shared" si="34"/>
        <v/>
      </c>
      <c r="G290" s="186"/>
      <c r="H290" s="146" t="str">
        <f t="shared" si="35"/>
        <v/>
      </c>
      <c r="I290" s="185"/>
      <c r="J290" s="185"/>
      <c r="K290" s="185"/>
      <c r="M290" s="141" t="str">
        <f t="shared" si="36"/>
        <v/>
      </c>
      <c r="N290" s="141" t="str">
        <f t="shared" si="37"/>
        <v/>
      </c>
    </row>
    <row r="291" spans="1:14">
      <c r="A291" s="145" t="str">
        <f>IF(C291="","",VLOOKUP('Opći dio'!$C$3,'Opći dio'!$L$6:$U$136,10,FALSE))</f>
        <v/>
      </c>
      <c r="B291" s="145" t="str">
        <f>IF(C291="","",VLOOKUP('Opći dio'!$C$3,'Opći dio'!$L$6:$U$136,9,FALSE))</f>
        <v/>
      </c>
      <c r="C291" s="151"/>
      <c r="D291" s="146" t="str">
        <f t="shared" si="33"/>
        <v/>
      </c>
      <c r="E291" s="151"/>
      <c r="F291" s="146" t="str">
        <f t="shared" si="34"/>
        <v/>
      </c>
      <c r="G291" s="186"/>
      <c r="H291" s="146" t="str">
        <f t="shared" si="35"/>
        <v/>
      </c>
      <c r="I291" s="185"/>
      <c r="J291" s="185"/>
      <c r="K291" s="185"/>
      <c r="M291" s="141" t="str">
        <f t="shared" si="36"/>
        <v/>
      </c>
      <c r="N291" s="141" t="str">
        <f t="shared" si="37"/>
        <v/>
      </c>
    </row>
    <row r="292" spans="1:14">
      <c r="A292" s="145" t="str">
        <f>IF(C292="","",VLOOKUP('Opći dio'!$C$3,'Opći dio'!$L$6:$U$136,10,FALSE))</f>
        <v/>
      </c>
      <c r="B292" s="145" t="str">
        <f>IF(C292="","",VLOOKUP('Opći dio'!$C$3,'Opći dio'!$L$6:$U$136,9,FALSE))</f>
        <v/>
      </c>
      <c r="C292" s="151"/>
      <c r="D292" s="146" t="str">
        <f t="shared" si="33"/>
        <v/>
      </c>
      <c r="E292" s="151"/>
      <c r="F292" s="146" t="str">
        <f t="shared" si="34"/>
        <v/>
      </c>
      <c r="G292" s="186"/>
      <c r="H292" s="146" t="str">
        <f t="shared" si="35"/>
        <v/>
      </c>
      <c r="I292" s="185"/>
      <c r="J292" s="185"/>
      <c r="K292" s="185"/>
      <c r="M292" s="141" t="str">
        <f t="shared" si="36"/>
        <v/>
      </c>
      <c r="N292" s="141" t="str">
        <f t="shared" si="37"/>
        <v/>
      </c>
    </row>
    <row r="293" spans="1:14">
      <c r="A293" s="145" t="str">
        <f>IF(C293="","",VLOOKUP('Opći dio'!$C$3,'Opći dio'!$L$6:$U$136,10,FALSE))</f>
        <v/>
      </c>
      <c r="B293" s="145" t="str">
        <f>IF(C293="","",VLOOKUP('Opći dio'!$C$3,'Opći dio'!$L$6:$U$136,9,FALSE))</f>
        <v/>
      </c>
      <c r="C293" s="151"/>
      <c r="D293" s="146" t="str">
        <f t="shared" si="33"/>
        <v/>
      </c>
      <c r="E293" s="151"/>
      <c r="F293" s="146" t="str">
        <f t="shared" si="34"/>
        <v/>
      </c>
      <c r="G293" s="186"/>
      <c r="H293" s="146" t="str">
        <f t="shared" si="35"/>
        <v/>
      </c>
      <c r="I293" s="185"/>
      <c r="J293" s="185"/>
      <c r="K293" s="185"/>
      <c r="M293" s="141" t="str">
        <f t="shared" si="36"/>
        <v/>
      </c>
      <c r="N293" s="141" t="str">
        <f t="shared" si="37"/>
        <v/>
      </c>
    </row>
    <row r="294" spans="1:14">
      <c r="A294" s="145" t="str">
        <f>IF(C294="","",VLOOKUP('Opći dio'!$C$3,'Opći dio'!$L$6:$U$136,10,FALSE))</f>
        <v/>
      </c>
      <c r="B294" s="145" t="str">
        <f>IF(C294="","",VLOOKUP('Opći dio'!$C$3,'Opći dio'!$L$6:$U$136,9,FALSE))</f>
        <v/>
      </c>
      <c r="C294" s="151"/>
      <c r="D294" s="146" t="str">
        <f t="shared" si="33"/>
        <v/>
      </c>
      <c r="E294" s="151"/>
      <c r="F294" s="146" t="str">
        <f t="shared" si="34"/>
        <v/>
      </c>
      <c r="G294" s="186"/>
      <c r="H294" s="146" t="str">
        <f t="shared" si="35"/>
        <v/>
      </c>
      <c r="I294" s="185"/>
      <c r="J294" s="185"/>
      <c r="K294" s="185"/>
      <c r="M294" s="141" t="str">
        <f t="shared" si="36"/>
        <v/>
      </c>
      <c r="N294" s="141" t="str">
        <f t="shared" si="37"/>
        <v/>
      </c>
    </row>
    <row r="295" spans="1:14">
      <c r="A295" s="145" t="str">
        <f>IF(C295="","",VLOOKUP('Opći dio'!$C$3,'Opći dio'!$L$6:$U$136,10,FALSE))</f>
        <v/>
      </c>
      <c r="B295" s="145" t="str">
        <f>IF(C295="","",VLOOKUP('Opći dio'!$C$3,'Opći dio'!$L$6:$U$136,9,FALSE))</f>
        <v/>
      </c>
      <c r="C295" s="151"/>
      <c r="D295" s="146" t="str">
        <f t="shared" si="33"/>
        <v/>
      </c>
      <c r="E295" s="151"/>
      <c r="F295" s="146" t="str">
        <f t="shared" si="34"/>
        <v/>
      </c>
      <c r="G295" s="186"/>
      <c r="H295" s="146" t="str">
        <f t="shared" si="35"/>
        <v/>
      </c>
      <c r="I295" s="185"/>
      <c r="J295" s="185"/>
      <c r="K295" s="185"/>
      <c r="M295" s="141" t="str">
        <f t="shared" si="36"/>
        <v/>
      </c>
      <c r="N295" s="141" t="str">
        <f t="shared" si="37"/>
        <v/>
      </c>
    </row>
    <row r="296" spans="1:14">
      <c r="A296" s="145" t="str">
        <f>IF(C296="","",VLOOKUP('Opći dio'!$C$3,'Opći dio'!$L$6:$U$136,10,FALSE))</f>
        <v/>
      </c>
      <c r="B296" s="145" t="str">
        <f>IF(C296="","",VLOOKUP('Opći dio'!$C$3,'Opći dio'!$L$6:$U$136,9,FALSE))</f>
        <v/>
      </c>
      <c r="C296" s="151"/>
      <c r="D296" s="146" t="str">
        <f t="shared" si="33"/>
        <v/>
      </c>
      <c r="E296" s="151"/>
      <c r="F296" s="146" t="str">
        <f t="shared" si="34"/>
        <v/>
      </c>
      <c r="G296" s="186"/>
      <c r="H296" s="146" t="str">
        <f t="shared" si="35"/>
        <v/>
      </c>
      <c r="I296" s="185"/>
      <c r="J296" s="185"/>
      <c r="K296" s="185"/>
      <c r="M296" s="141" t="str">
        <f t="shared" si="36"/>
        <v/>
      </c>
      <c r="N296" s="141" t="str">
        <f t="shared" si="37"/>
        <v/>
      </c>
    </row>
    <row r="297" spans="1:14">
      <c r="A297" s="145" t="str">
        <f>IF(C297="","",VLOOKUP('Opći dio'!$C$3,'Opći dio'!$L$6:$U$136,10,FALSE))</f>
        <v/>
      </c>
      <c r="B297" s="145" t="str">
        <f>IF(C297="","",VLOOKUP('Opći dio'!$C$3,'Opći dio'!$L$6:$U$136,9,FALSE))</f>
        <v/>
      </c>
      <c r="C297" s="151"/>
      <c r="D297" s="146" t="str">
        <f t="shared" si="33"/>
        <v/>
      </c>
      <c r="E297" s="151"/>
      <c r="F297" s="146" t="str">
        <f t="shared" si="34"/>
        <v/>
      </c>
      <c r="G297" s="186"/>
      <c r="H297" s="146" t="str">
        <f t="shared" si="35"/>
        <v/>
      </c>
      <c r="I297" s="185"/>
      <c r="J297" s="185"/>
      <c r="K297" s="185"/>
      <c r="M297" s="141" t="str">
        <f t="shared" si="36"/>
        <v/>
      </c>
      <c r="N297" s="141" t="str">
        <f t="shared" si="37"/>
        <v/>
      </c>
    </row>
    <row r="298" spans="1:14">
      <c r="A298" s="145" t="str">
        <f>IF(C298="","",VLOOKUP('Opći dio'!$C$3,'Opći dio'!$L$6:$U$136,10,FALSE))</f>
        <v/>
      </c>
      <c r="B298" s="145" t="str">
        <f>IF(C298="","",VLOOKUP('Opći dio'!$C$3,'Opći dio'!$L$6:$U$136,9,FALSE))</f>
        <v/>
      </c>
      <c r="C298" s="151"/>
      <c r="D298" s="146" t="str">
        <f t="shared" si="33"/>
        <v/>
      </c>
      <c r="E298" s="151"/>
      <c r="F298" s="146" t="str">
        <f t="shared" si="34"/>
        <v/>
      </c>
      <c r="G298" s="186"/>
      <c r="H298" s="146" t="str">
        <f t="shared" si="35"/>
        <v/>
      </c>
      <c r="I298" s="185"/>
      <c r="J298" s="185"/>
      <c r="K298" s="185"/>
      <c r="M298" s="141" t="str">
        <f t="shared" si="36"/>
        <v/>
      </c>
      <c r="N298" s="141" t="str">
        <f t="shared" si="37"/>
        <v/>
      </c>
    </row>
    <row r="299" spans="1:14">
      <c r="A299" s="145" t="str">
        <f>IF(C299="","",VLOOKUP('Opći dio'!$C$3,'Opći dio'!$L$6:$U$136,10,FALSE))</f>
        <v/>
      </c>
      <c r="B299" s="145" t="str">
        <f>IF(C299="","",VLOOKUP('Opći dio'!$C$3,'Opći dio'!$L$6:$U$136,9,FALSE))</f>
        <v/>
      </c>
      <c r="C299" s="151"/>
      <c r="D299" s="146" t="str">
        <f t="shared" si="33"/>
        <v/>
      </c>
      <c r="E299" s="151"/>
      <c r="F299" s="146" t="str">
        <f t="shared" si="34"/>
        <v/>
      </c>
      <c r="G299" s="186"/>
      <c r="H299" s="146" t="str">
        <f t="shared" si="35"/>
        <v/>
      </c>
      <c r="I299" s="185"/>
      <c r="J299" s="185"/>
      <c r="K299" s="185"/>
      <c r="M299" s="141" t="str">
        <f t="shared" si="36"/>
        <v/>
      </c>
      <c r="N299" s="141" t="str">
        <f t="shared" si="37"/>
        <v/>
      </c>
    </row>
    <row r="300" spans="1:14">
      <c r="A300" s="145" t="str">
        <f>IF(C300="","",VLOOKUP('Opći dio'!$C$3,'Opći dio'!$L$6:$U$136,10,FALSE))</f>
        <v/>
      </c>
      <c r="B300" s="145" t="str">
        <f>IF(C300="","",VLOOKUP('Opći dio'!$C$3,'Opći dio'!$L$6:$U$136,9,FALSE))</f>
        <v/>
      </c>
      <c r="C300" s="151"/>
      <c r="D300" s="146" t="str">
        <f t="shared" si="33"/>
        <v/>
      </c>
      <c r="E300" s="151"/>
      <c r="F300" s="146" t="str">
        <f t="shared" si="34"/>
        <v/>
      </c>
      <c r="G300" s="186"/>
      <c r="H300" s="146" t="str">
        <f t="shared" si="35"/>
        <v/>
      </c>
      <c r="I300" s="185"/>
      <c r="J300" s="185"/>
      <c r="K300" s="185"/>
      <c r="M300" s="141" t="str">
        <f t="shared" si="36"/>
        <v/>
      </c>
      <c r="N300" s="141" t="str">
        <f t="shared" si="37"/>
        <v/>
      </c>
    </row>
    <row r="301" spans="1:14">
      <c r="A301" s="145" t="str">
        <f>IF(C301="","",VLOOKUP('Opći dio'!$C$3,'Opći dio'!$L$6:$U$136,10,FALSE))</f>
        <v/>
      </c>
      <c r="B301" s="145" t="str">
        <f>IF(C301="","",VLOOKUP('Opći dio'!$C$3,'Opći dio'!$L$6:$U$136,9,FALSE))</f>
        <v/>
      </c>
      <c r="C301" s="151"/>
      <c r="D301" s="146" t="str">
        <f t="shared" si="33"/>
        <v/>
      </c>
      <c r="E301" s="151"/>
      <c r="F301" s="146" t="str">
        <f t="shared" si="34"/>
        <v/>
      </c>
      <c r="G301" s="186"/>
      <c r="H301" s="146" t="str">
        <f t="shared" si="35"/>
        <v/>
      </c>
      <c r="I301" s="185"/>
      <c r="J301" s="185"/>
      <c r="K301" s="185"/>
      <c r="M301" s="141" t="str">
        <f t="shared" si="36"/>
        <v/>
      </c>
      <c r="N301" s="141" t="str">
        <f t="shared" si="37"/>
        <v/>
      </c>
    </row>
    <row r="302" spans="1:14">
      <c r="A302" s="145" t="str">
        <f>IF(C302="","",VLOOKUP('Opći dio'!$C$3,'Opći dio'!$L$6:$U$136,10,FALSE))</f>
        <v/>
      </c>
      <c r="B302" s="145" t="str">
        <f>IF(C302="","",VLOOKUP('Opći dio'!$C$3,'Opći dio'!$L$6:$U$136,9,FALSE))</f>
        <v/>
      </c>
      <c r="C302" s="151"/>
      <c r="D302" s="146" t="str">
        <f t="shared" si="33"/>
        <v/>
      </c>
      <c r="E302" s="151"/>
      <c r="F302" s="146" t="str">
        <f t="shared" si="34"/>
        <v/>
      </c>
      <c r="G302" s="186"/>
      <c r="H302" s="146" t="str">
        <f t="shared" si="35"/>
        <v/>
      </c>
      <c r="I302" s="185"/>
      <c r="J302" s="185"/>
      <c r="K302" s="185"/>
      <c r="M302" s="141" t="str">
        <f t="shared" si="36"/>
        <v/>
      </c>
      <c r="N302" s="141" t="str">
        <f t="shared" si="37"/>
        <v/>
      </c>
    </row>
    <row r="303" spans="1:14">
      <c r="A303" s="145" t="str">
        <f>IF(C303="","",VLOOKUP('Opći dio'!$C$3,'Opći dio'!$L$6:$U$136,10,FALSE))</f>
        <v/>
      </c>
      <c r="B303" s="145" t="str">
        <f>IF(C303="","",VLOOKUP('Opći dio'!$C$3,'Opći dio'!$L$6:$U$136,9,FALSE))</f>
        <v/>
      </c>
      <c r="C303" s="151"/>
      <c r="D303" s="146" t="str">
        <f t="shared" si="33"/>
        <v/>
      </c>
      <c r="E303" s="151"/>
      <c r="F303" s="146" t="str">
        <f t="shared" si="34"/>
        <v/>
      </c>
      <c r="G303" s="186"/>
      <c r="H303" s="146" t="str">
        <f t="shared" si="35"/>
        <v/>
      </c>
      <c r="I303" s="185"/>
      <c r="J303" s="185"/>
      <c r="K303" s="185"/>
      <c r="M303" s="141" t="str">
        <f t="shared" si="36"/>
        <v/>
      </c>
      <c r="N303" s="141" t="str">
        <f t="shared" si="37"/>
        <v/>
      </c>
    </row>
    <row r="304" spans="1:14">
      <c r="A304" s="145" t="str">
        <f>IF(C304="","",VLOOKUP('Opći dio'!$C$3,'Opći dio'!$L$6:$U$136,10,FALSE))</f>
        <v/>
      </c>
      <c r="B304" s="145" t="str">
        <f>IF(C304="","",VLOOKUP('Opći dio'!$C$3,'Opći dio'!$L$6:$U$136,9,FALSE))</f>
        <v/>
      </c>
      <c r="C304" s="151"/>
      <c r="D304" s="146" t="str">
        <f t="shared" si="33"/>
        <v/>
      </c>
      <c r="E304" s="151"/>
      <c r="F304" s="146" t="str">
        <f t="shared" si="34"/>
        <v/>
      </c>
      <c r="G304" s="186"/>
      <c r="H304" s="146" t="str">
        <f t="shared" si="35"/>
        <v/>
      </c>
      <c r="I304" s="185"/>
      <c r="J304" s="185"/>
      <c r="K304" s="185"/>
      <c r="M304" s="141" t="str">
        <f t="shared" si="36"/>
        <v/>
      </c>
      <c r="N304" s="141" t="str">
        <f t="shared" si="37"/>
        <v/>
      </c>
    </row>
    <row r="305" spans="1:14">
      <c r="A305" s="145" t="str">
        <f>IF(C305="","",VLOOKUP('Opći dio'!$C$3,'Opći dio'!$L$6:$U$136,10,FALSE))</f>
        <v/>
      </c>
      <c r="B305" s="145" t="str">
        <f>IF(C305="","",VLOOKUP('Opći dio'!$C$3,'Opći dio'!$L$6:$U$136,9,FALSE))</f>
        <v/>
      </c>
      <c r="C305" s="151"/>
      <c r="D305" s="146" t="str">
        <f t="shared" si="33"/>
        <v/>
      </c>
      <c r="E305" s="151"/>
      <c r="F305" s="146" t="str">
        <f t="shared" si="34"/>
        <v/>
      </c>
      <c r="G305" s="186"/>
      <c r="H305" s="146" t="str">
        <f t="shared" si="35"/>
        <v/>
      </c>
      <c r="I305" s="185"/>
      <c r="J305" s="185"/>
      <c r="K305" s="185"/>
      <c r="M305" s="141" t="str">
        <f t="shared" si="36"/>
        <v/>
      </c>
      <c r="N305" s="141" t="str">
        <f t="shared" si="37"/>
        <v/>
      </c>
    </row>
    <row r="306" spans="1:14">
      <c r="A306" s="145" t="str">
        <f>IF(C306="","",VLOOKUP('Opći dio'!$C$3,'Opći dio'!$L$6:$U$136,10,FALSE))</f>
        <v/>
      </c>
      <c r="B306" s="145" t="str">
        <f>IF(C306="","",VLOOKUP('Opći dio'!$C$3,'Opći dio'!$L$6:$U$136,9,FALSE))</f>
        <v/>
      </c>
      <c r="C306" s="151"/>
      <c r="D306" s="146" t="str">
        <f t="shared" si="33"/>
        <v/>
      </c>
      <c r="E306" s="151"/>
      <c r="F306" s="146" t="str">
        <f t="shared" si="34"/>
        <v/>
      </c>
      <c r="G306" s="186"/>
      <c r="H306" s="146" t="str">
        <f t="shared" si="35"/>
        <v/>
      </c>
      <c r="I306" s="185"/>
      <c r="J306" s="185"/>
      <c r="K306" s="185"/>
      <c r="M306" s="141" t="str">
        <f t="shared" si="36"/>
        <v/>
      </c>
      <c r="N306" s="141" t="str">
        <f t="shared" si="37"/>
        <v/>
      </c>
    </row>
    <row r="307" spans="1:14">
      <c r="A307" s="145" t="str">
        <f>IF(C307="","",VLOOKUP('Opći dio'!$C$3,'Opći dio'!$L$6:$U$136,10,FALSE))</f>
        <v/>
      </c>
      <c r="B307" s="145" t="str">
        <f>IF(C307="","",VLOOKUP('Opći dio'!$C$3,'Opći dio'!$L$6:$U$136,9,FALSE))</f>
        <v/>
      </c>
      <c r="C307" s="151"/>
      <c r="D307" s="146" t="str">
        <f t="shared" si="33"/>
        <v/>
      </c>
      <c r="E307" s="151"/>
      <c r="F307" s="146" t="str">
        <f t="shared" si="34"/>
        <v/>
      </c>
      <c r="G307" s="186"/>
      <c r="H307" s="146" t="str">
        <f t="shared" si="35"/>
        <v/>
      </c>
      <c r="I307" s="185"/>
      <c r="J307" s="185"/>
      <c r="K307" s="185"/>
      <c r="M307" s="141" t="str">
        <f t="shared" si="36"/>
        <v/>
      </c>
      <c r="N307" s="141" t="str">
        <f t="shared" si="37"/>
        <v/>
      </c>
    </row>
    <row r="308" spans="1:14">
      <c r="A308" s="145" t="str">
        <f>IF(C308="","",VLOOKUP('Opći dio'!$C$3,'Opći dio'!$L$6:$U$136,10,FALSE))</f>
        <v/>
      </c>
      <c r="B308" s="145" t="str">
        <f>IF(C308="","",VLOOKUP('Opći dio'!$C$3,'Opći dio'!$L$6:$U$136,9,FALSE))</f>
        <v/>
      </c>
      <c r="C308" s="151"/>
      <c r="D308" s="146" t="str">
        <f t="shared" si="33"/>
        <v/>
      </c>
      <c r="E308" s="151"/>
      <c r="F308" s="146" t="str">
        <f t="shared" si="34"/>
        <v/>
      </c>
      <c r="G308" s="186"/>
      <c r="H308" s="146" t="str">
        <f t="shared" si="35"/>
        <v/>
      </c>
      <c r="I308" s="185"/>
      <c r="J308" s="185"/>
      <c r="K308" s="185"/>
      <c r="M308" s="141" t="str">
        <f t="shared" si="36"/>
        <v/>
      </c>
      <c r="N308" s="141" t="str">
        <f t="shared" si="37"/>
        <v/>
      </c>
    </row>
    <row r="309" spans="1:14">
      <c r="A309" s="145" t="str">
        <f>IF(C309="","",VLOOKUP('Opći dio'!$C$3,'Opći dio'!$L$6:$U$136,10,FALSE))</f>
        <v/>
      </c>
      <c r="B309" s="145" t="str">
        <f>IF(C309="","",VLOOKUP('Opći dio'!$C$3,'Opći dio'!$L$6:$U$136,9,FALSE))</f>
        <v/>
      </c>
      <c r="C309" s="151"/>
      <c r="D309" s="146" t="str">
        <f t="shared" si="33"/>
        <v/>
      </c>
      <c r="E309" s="151"/>
      <c r="F309" s="146" t="str">
        <f t="shared" si="34"/>
        <v/>
      </c>
      <c r="G309" s="186"/>
      <c r="H309" s="146" t="str">
        <f t="shared" si="35"/>
        <v/>
      </c>
      <c r="I309" s="185"/>
      <c r="J309" s="185"/>
      <c r="K309" s="185"/>
      <c r="M309" s="141" t="str">
        <f t="shared" si="36"/>
        <v/>
      </c>
      <c r="N309" s="141" t="str">
        <f t="shared" si="37"/>
        <v/>
      </c>
    </row>
    <row r="310" spans="1:14">
      <c r="A310" s="145" t="str">
        <f>IF(C310="","",VLOOKUP('Opći dio'!$C$3,'Opći dio'!$L$6:$U$136,10,FALSE))</f>
        <v/>
      </c>
      <c r="B310" s="145" t="str">
        <f>IF(C310="","",VLOOKUP('Opći dio'!$C$3,'Opći dio'!$L$6:$U$136,9,FALSE))</f>
        <v/>
      </c>
      <c r="C310" s="151"/>
      <c r="D310" s="146" t="str">
        <f t="shared" si="33"/>
        <v/>
      </c>
      <c r="E310" s="151"/>
      <c r="F310" s="146" t="str">
        <f t="shared" si="34"/>
        <v/>
      </c>
      <c r="G310" s="186"/>
      <c r="H310" s="146" t="str">
        <f t="shared" si="35"/>
        <v/>
      </c>
      <c r="I310" s="185"/>
      <c r="J310" s="185"/>
      <c r="K310" s="185"/>
      <c r="M310" s="141" t="str">
        <f t="shared" si="36"/>
        <v/>
      </c>
      <c r="N310" s="141" t="str">
        <f t="shared" si="37"/>
        <v/>
      </c>
    </row>
    <row r="311" spans="1:14">
      <c r="A311" s="145" t="str">
        <f>IF(C311="","",VLOOKUP('Opći dio'!$C$3,'Opći dio'!$L$6:$U$136,10,FALSE))</f>
        <v/>
      </c>
      <c r="B311" s="145" t="str">
        <f>IF(C311="","",VLOOKUP('Opći dio'!$C$3,'Opći dio'!$L$6:$U$136,9,FALSE))</f>
        <v/>
      </c>
      <c r="C311" s="151"/>
      <c r="D311" s="146" t="str">
        <f t="shared" si="33"/>
        <v/>
      </c>
      <c r="E311" s="151"/>
      <c r="F311" s="146" t="str">
        <f t="shared" si="34"/>
        <v/>
      </c>
      <c r="G311" s="186"/>
      <c r="H311" s="146" t="str">
        <f t="shared" si="35"/>
        <v/>
      </c>
      <c r="I311" s="185"/>
      <c r="J311" s="185"/>
      <c r="K311" s="185"/>
      <c r="M311" s="141" t="str">
        <f t="shared" si="36"/>
        <v/>
      </c>
      <c r="N311" s="141" t="str">
        <f t="shared" si="37"/>
        <v/>
      </c>
    </row>
    <row r="312" spans="1:14">
      <c r="A312" s="145" t="str">
        <f>IF(C312="","",VLOOKUP('Opći dio'!$C$3,'Opći dio'!$L$6:$U$136,10,FALSE))</f>
        <v/>
      </c>
      <c r="B312" s="145" t="str">
        <f>IF(C312="","",VLOOKUP('Opći dio'!$C$3,'Opći dio'!$L$6:$U$136,9,FALSE))</f>
        <v/>
      </c>
      <c r="C312" s="151"/>
      <c r="D312" s="146" t="str">
        <f t="shared" si="33"/>
        <v/>
      </c>
      <c r="E312" s="151"/>
      <c r="F312" s="146" t="str">
        <f t="shared" si="34"/>
        <v/>
      </c>
      <c r="G312" s="186"/>
      <c r="H312" s="146" t="str">
        <f t="shared" si="35"/>
        <v/>
      </c>
      <c r="I312" s="185"/>
      <c r="J312" s="185"/>
      <c r="K312" s="185"/>
      <c r="M312" s="141" t="str">
        <f t="shared" si="36"/>
        <v/>
      </c>
      <c r="N312" s="141" t="str">
        <f t="shared" si="37"/>
        <v/>
      </c>
    </row>
    <row r="313" spans="1:14">
      <c r="A313" s="145" t="str">
        <f>IF(C313="","",VLOOKUP('Opći dio'!$C$3,'Opći dio'!$L$6:$U$136,10,FALSE))</f>
        <v/>
      </c>
      <c r="B313" s="145" t="str">
        <f>IF(C313="","",VLOOKUP('Opći dio'!$C$3,'Opći dio'!$L$6:$U$136,9,FALSE))</f>
        <v/>
      </c>
      <c r="C313" s="151"/>
      <c r="D313" s="146" t="str">
        <f t="shared" si="33"/>
        <v/>
      </c>
      <c r="E313" s="151"/>
      <c r="F313" s="146" t="str">
        <f t="shared" si="34"/>
        <v/>
      </c>
      <c r="G313" s="186"/>
      <c r="H313" s="146" t="str">
        <f t="shared" si="35"/>
        <v/>
      </c>
      <c r="I313" s="185"/>
      <c r="J313" s="185"/>
      <c r="K313" s="185"/>
      <c r="M313" s="141" t="str">
        <f t="shared" si="36"/>
        <v/>
      </c>
      <c r="N313" s="141" t="str">
        <f t="shared" si="37"/>
        <v/>
      </c>
    </row>
    <row r="314" spans="1:14">
      <c r="A314" s="145" t="str">
        <f>IF(C314="","",VLOOKUP('Opći dio'!$C$3,'Opći dio'!$L$6:$U$136,10,FALSE))</f>
        <v/>
      </c>
      <c r="B314" s="145" t="str">
        <f>IF(C314="","",VLOOKUP('Opći dio'!$C$3,'Opći dio'!$L$6:$U$136,9,FALSE))</f>
        <v/>
      </c>
      <c r="C314" s="151"/>
      <c r="D314" s="146" t="str">
        <f t="shared" si="33"/>
        <v/>
      </c>
      <c r="E314" s="151"/>
      <c r="F314" s="146" t="str">
        <f t="shared" si="34"/>
        <v/>
      </c>
      <c r="G314" s="186"/>
      <c r="H314" s="146" t="str">
        <f t="shared" si="35"/>
        <v/>
      </c>
      <c r="I314" s="185"/>
      <c r="J314" s="185"/>
      <c r="K314" s="185"/>
      <c r="M314" s="141" t="str">
        <f t="shared" si="36"/>
        <v/>
      </c>
      <c r="N314" s="141" t="str">
        <f t="shared" si="37"/>
        <v/>
      </c>
    </row>
    <row r="315" spans="1:14">
      <c r="A315" s="145" t="str">
        <f>IF(C315="","",VLOOKUP('Opći dio'!$C$3,'Opći dio'!$L$6:$U$136,10,FALSE))</f>
        <v/>
      </c>
      <c r="B315" s="145" t="str">
        <f>IF(C315="","",VLOOKUP('Opći dio'!$C$3,'Opći dio'!$L$6:$U$136,9,FALSE))</f>
        <v/>
      </c>
      <c r="C315" s="151"/>
      <c r="D315" s="146" t="str">
        <f t="shared" si="33"/>
        <v/>
      </c>
      <c r="E315" s="151"/>
      <c r="F315" s="146" t="str">
        <f t="shared" si="34"/>
        <v/>
      </c>
      <c r="G315" s="186"/>
      <c r="H315" s="146" t="str">
        <f t="shared" si="35"/>
        <v/>
      </c>
      <c r="I315" s="185"/>
      <c r="J315" s="185"/>
      <c r="K315" s="185"/>
      <c r="M315" s="141" t="str">
        <f t="shared" si="36"/>
        <v/>
      </c>
      <c r="N315" s="141" t="str">
        <f t="shared" si="37"/>
        <v/>
      </c>
    </row>
    <row r="316" spans="1:14">
      <c r="A316" s="145" t="str">
        <f>IF(C316="","",VLOOKUP('Opći dio'!$C$3,'Opći dio'!$L$6:$U$136,10,FALSE))</f>
        <v/>
      </c>
      <c r="B316" s="145" t="str">
        <f>IF(C316="","",VLOOKUP('Opći dio'!$C$3,'Opći dio'!$L$6:$U$136,9,FALSE))</f>
        <v/>
      </c>
      <c r="C316" s="151"/>
      <c r="D316" s="146" t="str">
        <f t="shared" si="33"/>
        <v/>
      </c>
      <c r="E316" s="151"/>
      <c r="F316" s="146" t="str">
        <f t="shared" si="34"/>
        <v/>
      </c>
      <c r="G316" s="186"/>
      <c r="H316" s="146" t="str">
        <f t="shared" si="35"/>
        <v/>
      </c>
      <c r="I316" s="185"/>
      <c r="J316" s="185"/>
      <c r="K316" s="185"/>
      <c r="M316" s="141" t="str">
        <f t="shared" si="36"/>
        <v/>
      </c>
      <c r="N316" s="141" t="str">
        <f t="shared" si="37"/>
        <v/>
      </c>
    </row>
    <row r="317" spans="1:14">
      <c r="A317" s="145" t="str">
        <f>IF(C317="","",VLOOKUP('Opći dio'!$C$3,'Opći dio'!$L$6:$U$136,10,FALSE))</f>
        <v/>
      </c>
      <c r="B317" s="145" t="str">
        <f>IF(C317="","",VLOOKUP('Opći dio'!$C$3,'Opći dio'!$L$6:$U$136,9,FALSE))</f>
        <v/>
      </c>
      <c r="C317" s="151"/>
      <c r="D317" s="146" t="str">
        <f t="shared" si="33"/>
        <v/>
      </c>
      <c r="E317" s="151"/>
      <c r="F317" s="146" t="str">
        <f t="shared" si="34"/>
        <v/>
      </c>
      <c r="G317" s="186"/>
      <c r="H317" s="146" t="str">
        <f t="shared" si="35"/>
        <v/>
      </c>
      <c r="I317" s="185"/>
      <c r="J317" s="185"/>
      <c r="K317" s="185"/>
      <c r="M317" s="141" t="str">
        <f t="shared" si="36"/>
        <v/>
      </c>
      <c r="N317" s="141" t="str">
        <f t="shared" si="37"/>
        <v/>
      </c>
    </row>
    <row r="318" spans="1:14">
      <c r="A318" s="145" t="str">
        <f>IF(C318="","",VLOOKUP('Opći dio'!$C$3,'Opći dio'!$L$6:$U$136,10,FALSE))</f>
        <v/>
      </c>
      <c r="B318" s="145" t="str">
        <f>IF(C318="","",VLOOKUP('Opći dio'!$C$3,'Opći dio'!$L$6:$U$136,9,FALSE))</f>
        <v/>
      </c>
      <c r="C318" s="151"/>
      <c r="D318" s="146" t="str">
        <f t="shared" si="33"/>
        <v/>
      </c>
      <c r="E318" s="151"/>
      <c r="F318" s="146" t="str">
        <f t="shared" si="34"/>
        <v/>
      </c>
      <c r="G318" s="186"/>
      <c r="H318" s="146" t="str">
        <f t="shared" si="35"/>
        <v/>
      </c>
      <c r="I318" s="185"/>
      <c r="J318" s="185"/>
      <c r="K318" s="185"/>
      <c r="M318" s="141" t="str">
        <f t="shared" si="36"/>
        <v/>
      </c>
      <c r="N318" s="141" t="str">
        <f t="shared" si="37"/>
        <v/>
      </c>
    </row>
    <row r="319" spans="1:14">
      <c r="A319" s="145" t="str">
        <f>IF(C319="","",VLOOKUP('Opći dio'!$C$3,'Opći dio'!$L$6:$U$136,10,FALSE))</f>
        <v/>
      </c>
      <c r="B319" s="145" t="str">
        <f>IF(C319="","",VLOOKUP('Opći dio'!$C$3,'Opći dio'!$L$6:$U$136,9,FALSE))</f>
        <v/>
      </c>
      <c r="C319" s="151"/>
      <c r="D319" s="146" t="str">
        <f t="shared" si="33"/>
        <v/>
      </c>
      <c r="E319" s="151"/>
      <c r="F319" s="146" t="str">
        <f t="shared" si="34"/>
        <v/>
      </c>
      <c r="G319" s="186"/>
      <c r="H319" s="146" t="str">
        <f t="shared" si="35"/>
        <v/>
      </c>
      <c r="I319" s="185"/>
      <c r="J319" s="185"/>
      <c r="K319" s="185"/>
      <c r="M319" s="141" t="str">
        <f t="shared" si="36"/>
        <v/>
      </c>
      <c r="N319" s="141" t="str">
        <f t="shared" si="37"/>
        <v/>
      </c>
    </row>
    <row r="320" spans="1:14">
      <c r="A320" s="145" t="str">
        <f>IF(C320="","",VLOOKUP('Opći dio'!$C$3,'Opći dio'!$L$6:$U$136,10,FALSE))</f>
        <v/>
      </c>
      <c r="B320" s="145" t="str">
        <f>IF(C320="","",VLOOKUP('Opći dio'!$C$3,'Opći dio'!$L$6:$U$136,9,FALSE))</f>
        <v/>
      </c>
      <c r="C320" s="151"/>
      <c r="D320" s="146" t="str">
        <f t="shared" si="33"/>
        <v/>
      </c>
      <c r="E320" s="151"/>
      <c r="F320" s="146" t="str">
        <f t="shared" si="34"/>
        <v/>
      </c>
      <c r="G320" s="186"/>
      <c r="H320" s="146" t="str">
        <f t="shared" si="35"/>
        <v/>
      </c>
      <c r="I320" s="185"/>
      <c r="J320" s="185"/>
      <c r="K320" s="185"/>
      <c r="M320" s="141" t="str">
        <f t="shared" si="36"/>
        <v/>
      </c>
      <c r="N320" s="141" t="str">
        <f t="shared" si="37"/>
        <v/>
      </c>
    </row>
    <row r="321" spans="1:14">
      <c r="A321" s="145" t="str">
        <f>IF(C321="","",VLOOKUP('Opći dio'!$C$3,'Opći dio'!$L$6:$U$136,10,FALSE))</f>
        <v/>
      </c>
      <c r="B321" s="145" t="str">
        <f>IF(C321="","",VLOOKUP('Opći dio'!$C$3,'Opći dio'!$L$6:$U$136,9,FALSE))</f>
        <v/>
      </c>
      <c r="C321" s="151"/>
      <c r="D321" s="146" t="str">
        <f t="shared" si="33"/>
        <v/>
      </c>
      <c r="E321" s="151"/>
      <c r="F321" s="146" t="str">
        <f t="shared" si="34"/>
        <v/>
      </c>
      <c r="G321" s="186"/>
      <c r="H321" s="146" t="str">
        <f t="shared" si="35"/>
        <v/>
      </c>
      <c r="I321" s="185"/>
      <c r="J321" s="185"/>
      <c r="K321" s="185"/>
      <c r="M321" s="141" t="str">
        <f t="shared" si="36"/>
        <v/>
      </c>
      <c r="N321" s="141" t="str">
        <f t="shared" si="37"/>
        <v/>
      </c>
    </row>
    <row r="322" spans="1:14">
      <c r="A322" s="145" t="str">
        <f>IF(C322="","",VLOOKUP('Opći dio'!$C$3,'Opći dio'!$L$6:$U$136,10,FALSE))</f>
        <v/>
      </c>
      <c r="B322" s="145" t="str">
        <f>IF(C322="","",VLOOKUP('Opći dio'!$C$3,'Opći dio'!$L$6:$U$136,9,FALSE))</f>
        <v/>
      </c>
      <c r="C322" s="151"/>
      <c r="D322" s="146" t="str">
        <f t="shared" si="33"/>
        <v/>
      </c>
      <c r="E322" s="151"/>
      <c r="F322" s="146" t="str">
        <f t="shared" si="34"/>
        <v/>
      </c>
      <c r="G322" s="186"/>
      <c r="H322" s="146" t="str">
        <f t="shared" si="35"/>
        <v/>
      </c>
      <c r="I322" s="185"/>
      <c r="J322" s="185"/>
      <c r="K322" s="185"/>
      <c r="M322" s="141" t="str">
        <f t="shared" si="36"/>
        <v/>
      </c>
      <c r="N322" s="141" t="str">
        <f t="shared" si="37"/>
        <v/>
      </c>
    </row>
    <row r="323" spans="1:14">
      <c r="A323" s="145" t="str">
        <f>IF(C323="","",VLOOKUP('Opći dio'!$C$3,'Opći dio'!$L$6:$U$136,10,FALSE))</f>
        <v/>
      </c>
      <c r="B323" s="145" t="str">
        <f>IF(C323="","",VLOOKUP('Opći dio'!$C$3,'Opći dio'!$L$6:$U$136,9,FALSE))</f>
        <v/>
      </c>
      <c r="C323" s="151"/>
      <c r="D323" s="146" t="str">
        <f t="shared" si="33"/>
        <v/>
      </c>
      <c r="E323" s="151"/>
      <c r="F323" s="146" t="str">
        <f t="shared" si="34"/>
        <v/>
      </c>
      <c r="G323" s="186"/>
      <c r="H323" s="146" t="str">
        <f t="shared" si="35"/>
        <v/>
      </c>
      <c r="I323" s="185"/>
      <c r="J323" s="185"/>
      <c r="K323" s="185"/>
      <c r="M323" s="141" t="str">
        <f t="shared" si="36"/>
        <v/>
      </c>
      <c r="N323" s="141" t="str">
        <f t="shared" si="37"/>
        <v/>
      </c>
    </row>
    <row r="324" spans="1:14">
      <c r="A324" s="145" t="str">
        <f>IF(C324="","",VLOOKUP('Opći dio'!$C$3,'Opći dio'!$L$6:$U$136,10,FALSE))</f>
        <v/>
      </c>
      <c r="B324" s="145" t="str">
        <f>IF(C324="","",VLOOKUP('Opći dio'!$C$3,'Opći dio'!$L$6:$U$136,9,FALSE))</f>
        <v/>
      </c>
      <c r="C324" s="151"/>
      <c r="D324" s="146" t="str">
        <f t="shared" ref="D324:D387" si="38">IFERROR(VLOOKUP(C324,$O$6:$P$23,2,FALSE),"")</f>
        <v/>
      </c>
      <c r="E324" s="151"/>
      <c r="F324" s="146" t="str">
        <f t="shared" ref="F324:F387" si="39">IFERROR(VLOOKUP(E324,$R$5:$T$129,2,FALSE),"")</f>
        <v/>
      </c>
      <c r="G324" s="186"/>
      <c r="H324" s="146" t="str">
        <f t="shared" ref="H324:H387" si="40">IFERROR(VLOOKUP(G324,$X$6:$Y$200,2,FALSE),"")</f>
        <v/>
      </c>
      <c r="I324" s="185"/>
      <c r="J324" s="185"/>
      <c r="K324" s="185"/>
      <c r="M324" s="141" t="str">
        <f t="shared" ref="M324:M387" si="41">LEFT(E324,3)</f>
        <v/>
      </c>
      <c r="N324" s="141" t="str">
        <f t="shared" ref="N324:N387" si="42">LEFT(E324,2)</f>
        <v/>
      </c>
    </row>
    <row r="325" spans="1:14">
      <c r="A325" s="145" t="str">
        <f>IF(C325="","",VLOOKUP('Opći dio'!$C$3,'Opći dio'!$L$6:$U$136,10,FALSE))</f>
        <v/>
      </c>
      <c r="B325" s="145" t="str">
        <f>IF(C325="","",VLOOKUP('Opći dio'!$C$3,'Opći dio'!$L$6:$U$136,9,FALSE))</f>
        <v/>
      </c>
      <c r="C325" s="151"/>
      <c r="D325" s="146" t="str">
        <f t="shared" si="38"/>
        <v/>
      </c>
      <c r="E325" s="151"/>
      <c r="F325" s="146" t="str">
        <f t="shared" si="39"/>
        <v/>
      </c>
      <c r="G325" s="186"/>
      <c r="H325" s="146" t="str">
        <f t="shared" si="40"/>
        <v/>
      </c>
      <c r="I325" s="185"/>
      <c r="J325" s="185"/>
      <c r="K325" s="185"/>
      <c r="M325" s="141" t="str">
        <f t="shared" si="41"/>
        <v/>
      </c>
      <c r="N325" s="141" t="str">
        <f t="shared" si="42"/>
        <v/>
      </c>
    </row>
    <row r="326" spans="1:14">
      <c r="A326" s="145" t="str">
        <f>IF(C326="","",VLOOKUP('Opći dio'!$C$3,'Opći dio'!$L$6:$U$136,10,FALSE))</f>
        <v/>
      </c>
      <c r="B326" s="145" t="str">
        <f>IF(C326="","",VLOOKUP('Opći dio'!$C$3,'Opći dio'!$L$6:$U$136,9,FALSE))</f>
        <v/>
      </c>
      <c r="C326" s="151"/>
      <c r="D326" s="146" t="str">
        <f t="shared" si="38"/>
        <v/>
      </c>
      <c r="E326" s="151"/>
      <c r="F326" s="146" t="str">
        <f t="shared" si="39"/>
        <v/>
      </c>
      <c r="G326" s="186"/>
      <c r="H326" s="146" t="str">
        <f t="shared" si="40"/>
        <v/>
      </c>
      <c r="I326" s="185"/>
      <c r="J326" s="185"/>
      <c r="K326" s="185"/>
      <c r="M326" s="141" t="str">
        <f t="shared" si="41"/>
        <v/>
      </c>
      <c r="N326" s="141" t="str">
        <f t="shared" si="42"/>
        <v/>
      </c>
    </row>
    <row r="327" spans="1:14">
      <c r="A327" s="145" t="str">
        <f>IF(C327="","",VLOOKUP('Opći dio'!$C$3,'Opći dio'!$L$6:$U$136,10,FALSE))</f>
        <v/>
      </c>
      <c r="B327" s="145" t="str">
        <f>IF(C327="","",VLOOKUP('Opći dio'!$C$3,'Opći dio'!$L$6:$U$136,9,FALSE))</f>
        <v/>
      </c>
      <c r="C327" s="151"/>
      <c r="D327" s="146" t="str">
        <f t="shared" si="38"/>
        <v/>
      </c>
      <c r="E327" s="151"/>
      <c r="F327" s="146" t="str">
        <f t="shared" si="39"/>
        <v/>
      </c>
      <c r="G327" s="186"/>
      <c r="H327" s="146" t="str">
        <f t="shared" si="40"/>
        <v/>
      </c>
      <c r="I327" s="185"/>
      <c r="J327" s="185"/>
      <c r="K327" s="185"/>
      <c r="M327" s="141" t="str">
        <f t="shared" si="41"/>
        <v/>
      </c>
      <c r="N327" s="141" t="str">
        <f t="shared" si="42"/>
        <v/>
      </c>
    </row>
    <row r="328" spans="1:14">
      <c r="A328" s="145" t="str">
        <f>IF(C328="","",VLOOKUP('Opći dio'!$C$3,'Opći dio'!$L$6:$U$136,10,FALSE))</f>
        <v/>
      </c>
      <c r="B328" s="145" t="str">
        <f>IF(C328="","",VLOOKUP('Opći dio'!$C$3,'Opći dio'!$L$6:$U$136,9,FALSE))</f>
        <v/>
      </c>
      <c r="C328" s="151"/>
      <c r="D328" s="146" t="str">
        <f t="shared" si="38"/>
        <v/>
      </c>
      <c r="E328" s="151"/>
      <c r="F328" s="146" t="str">
        <f t="shared" si="39"/>
        <v/>
      </c>
      <c r="G328" s="186"/>
      <c r="H328" s="146" t="str">
        <f t="shared" si="40"/>
        <v/>
      </c>
      <c r="I328" s="185"/>
      <c r="J328" s="185"/>
      <c r="K328" s="185"/>
      <c r="M328" s="141" t="str">
        <f t="shared" si="41"/>
        <v/>
      </c>
      <c r="N328" s="141" t="str">
        <f t="shared" si="42"/>
        <v/>
      </c>
    </row>
    <row r="329" spans="1:14">
      <c r="A329" s="145" t="str">
        <f>IF(C329="","",VLOOKUP('Opći dio'!$C$3,'Opći dio'!$L$6:$U$136,10,FALSE))</f>
        <v/>
      </c>
      <c r="B329" s="145" t="str">
        <f>IF(C329="","",VLOOKUP('Opći dio'!$C$3,'Opći dio'!$L$6:$U$136,9,FALSE))</f>
        <v/>
      </c>
      <c r="C329" s="151"/>
      <c r="D329" s="146" t="str">
        <f t="shared" si="38"/>
        <v/>
      </c>
      <c r="E329" s="151"/>
      <c r="F329" s="146" t="str">
        <f t="shared" si="39"/>
        <v/>
      </c>
      <c r="G329" s="186"/>
      <c r="H329" s="146" t="str">
        <f t="shared" si="40"/>
        <v/>
      </c>
      <c r="I329" s="185"/>
      <c r="J329" s="185"/>
      <c r="K329" s="185"/>
      <c r="M329" s="141" t="str">
        <f t="shared" si="41"/>
        <v/>
      </c>
      <c r="N329" s="141" t="str">
        <f t="shared" si="42"/>
        <v/>
      </c>
    </row>
    <row r="330" spans="1:14">
      <c r="A330" s="145" t="str">
        <f>IF(C330="","",VLOOKUP('Opći dio'!$C$3,'Opći dio'!$L$6:$U$136,10,FALSE))</f>
        <v/>
      </c>
      <c r="B330" s="145" t="str">
        <f>IF(C330="","",VLOOKUP('Opći dio'!$C$3,'Opći dio'!$L$6:$U$136,9,FALSE))</f>
        <v/>
      </c>
      <c r="C330" s="151"/>
      <c r="D330" s="146" t="str">
        <f t="shared" si="38"/>
        <v/>
      </c>
      <c r="E330" s="151"/>
      <c r="F330" s="146" t="str">
        <f t="shared" si="39"/>
        <v/>
      </c>
      <c r="G330" s="186"/>
      <c r="H330" s="146" t="str">
        <f t="shared" si="40"/>
        <v/>
      </c>
      <c r="I330" s="185"/>
      <c r="J330" s="185"/>
      <c r="K330" s="185"/>
      <c r="M330" s="141" t="str">
        <f t="shared" si="41"/>
        <v/>
      </c>
      <c r="N330" s="141" t="str">
        <f t="shared" si="42"/>
        <v/>
      </c>
    </row>
    <row r="331" spans="1:14">
      <c r="A331" s="145" t="str">
        <f>IF(C331="","",VLOOKUP('Opći dio'!$C$3,'Opći dio'!$L$6:$U$136,10,FALSE))</f>
        <v/>
      </c>
      <c r="B331" s="145" t="str">
        <f>IF(C331="","",VLOOKUP('Opći dio'!$C$3,'Opći dio'!$L$6:$U$136,9,FALSE))</f>
        <v/>
      </c>
      <c r="C331" s="151"/>
      <c r="D331" s="146" t="str">
        <f t="shared" si="38"/>
        <v/>
      </c>
      <c r="E331" s="151"/>
      <c r="F331" s="146" t="str">
        <f t="shared" si="39"/>
        <v/>
      </c>
      <c r="G331" s="186"/>
      <c r="H331" s="146" t="str">
        <f t="shared" si="40"/>
        <v/>
      </c>
      <c r="I331" s="185"/>
      <c r="J331" s="185"/>
      <c r="K331" s="185"/>
      <c r="M331" s="141" t="str">
        <f t="shared" si="41"/>
        <v/>
      </c>
      <c r="N331" s="141" t="str">
        <f t="shared" si="42"/>
        <v/>
      </c>
    </row>
    <row r="332" spans="1:14">
      <c r="A332" s="145" t="str">
        <f>IF(C332="","",VLOOKUP('Opći dio'!$C$3,'Opći dio'!$L$6:$U$136,10,FALSE))</f>
        <v/>
      </c>
      <c r="B332" s="145" t="str">
        <f>IF(C332="","",VLOOKUP('Opći dio'!$C$3,'Opći dio'!$L$6:$U$136,9,FALSE))</f>
        <v/>
      </c>
      <c r="C332" s="151"/>
      <c r="D332" s="146" t="str">
        <f t="shared" si="38"/>
        <v/>
      </c>
      <c r="E332" s="151"/>
      <c r="F332" s="146" t="str">
        <f t="shared" si="39"/>
        <v/>
      </c>
      <c r="G332" s="186"/>
      <c r="H332" s="146" t="str">
        <f t="shared" si="40"/>
        <v/>
      </c>
      <c r="I332" s="185"/>
      <c r="J332" s="185"/>
      <c r="K332" s="185"/>
      <c r="M332" s="141" t="str">
        <f t="shared" si="41"/>
        <v/>
      </c>
      <c r="N332" s="141" t="str">
        <f t="shared" si="42"/>
        <v/>
      </c>
    </row>
    <row r="333" spans="1:14">
      <c r="A333" s="145" t="str">
        <f>IF(C333="","",VLOOKUP('Opći dio'!$C$3,'Opći dio'!$L$6:$U$136,10,FALSE))</f>
        <v/>
      </c>
      <c r="B333" s="145" t="str">
        <f>IF(C333="","",VLOOKUP('Opći dio'!$C$3,'Opći dio'!$L$6:$U$136,9,FALSE))</f>
        <v/>
      </c>
      <c r="C333" s="151"/>
      <c r="D333" s="146" t="str">
        <f t="shared" si="38"/>
        <v/>
      </c>
      <c r="E333" s="151"/>
      <c r="F333" s="146" t="str">
        <f t="shared" si="39"/>
        <v/>
      </c>
      <c r="G333" s="186"/>
      <c r="H333" s="146" t="str">
        <f t="shared" si="40"/>
        <v/>
      </c>
      <c r="I333" s="185"/>
      <c r="J333" s="185"/>
      <c r="K333" s="185"/>
      <c r="M333" s="141" t="str">
        <f t="shared" si="41"/>
        <v/>
      </c>
      <c r="N333" s="141" t="str">
        <f t="shared" si="42"/>
        <v/>
      </c>
    </row>
    <row r="334" spans="1:14">
      <c r="A334" s="145" t="str">
        <f>IF(C334="","",VLOOKUP('Opći dio'!$C$3,'Opći dio'!$L$6:$U$136,10,FALSE))</f>
        <v/>
      </c>
      <c r="B334" s="145" t="str">
        <f>IF(C334="","",VLOOKUP('Opći dio'!$C$3,'Opći dio'!$L$6:$U$136,9,FALSE))</f>
        <v/>
      </c>
      <c r="C334" s="151"/>
      <c r="D334" s="146" t="str">
        <f t="shared" si="38"/>
        <v/>
      </c>
      <c r="E334" s="151"/>
      <c r="F334" s="146" t="str">
        <f t="shared" si="39"/>
        <v/>
      </c>
      <c r="G334" s="186"/>
      <c r="H334" s="146" t="str">
        <f t="shared" si="40"/>
        <v/>
      </c>
      <c r="I334" s="185"/>
      <c r="J334" s="185"/>
      <c r="K334" s="185"/>
      <c r="M334" s="141" t="str">
        <f t="shared" si="41"/>
        <v/>
      </c>
      <c r="N334" s="141" t="str">
        <f t="shared" si="42"/>
        <v/>
      </c>
    </row>
    <row r="335" spans="1:14">
      <c r="A335" s="145" t="str">
        <f>IF(C335="","",VLOOKUP('Opći dio'!$C$3,'Opći dio'!$L$6:$U$136,10,FALSE))</f>
        <v/>
      </c>
      <c r="B335" s="145" t="str">
        <f>IF(C335="","",VLOOKUP('Opći dio'!$C$3,'Opći dio'!$L$6:$U$136,9,FALSE))</f>
        <v/>
      </c>
      <c r="C335" s="151"/>
      <c r="D335" s="146" t="str">
        <f t="shared" si="38"/>
        <v/>
      </c>
      <c r="E335" s="151"/>
      <c r="F335" s="146" t="str">
        <f t="shared" si="39"/>
        <v/>
      </c>
      <c r="G335" s="186"/>
      <c r="H335" s="146" t="str">
        <f t="shared" si="40"/>
        <v/>
      </c>
      <c r="I335" s="185"/>
      <c r="J335" s="185"/>
      <c r="K335" s="185"/>
      <c r="M335" s="141" t="str">
        <f t="shared" si="41"/>
        <v/>
      </c>
      <c r="N335" s="141" t="str">
        <f t="shared" si="42"/>
        <v/>
      </c>
    </row>
    <row r="336" spans="1:14">
      <c r="A336" s="145" t="str">
        <f>IF(C336="","",VLOOKUP('Opći dio'!$C$3,'Opći dio'!$L$6:$U$136,10,FALSE))</f>
        <v/>
      </c>
      <c r="B336" s="145" t="str">
        <f>IF(C336="","",VLOOKUP('Opći dio'!$C$3,'Opći dio'!$L$6:$U$136,9,FALSE))</f>
        <v/>
      </c>
      <c r="C336" s="151"/>
      <c r="D336" s="146" t="str">
        <f t="shared" si="38"/>
        <v/>
      </c>
      <c r="E336" s="151"/>
      <c r="F336" s="146" t="str">
        <f t="shared" si="39"/>
        <v/>
      </c>
      <c r="G336" s="186"/>
      <c r="H336" s="146" t="str">
        <f t="shared" si="40"/>
        <v/>
      </c>
      <c r="I336" s="185"/>
      <c r="J336" s="185"/>
      <c r="K336" s="185"/>
      <c r="M336" s="141" t="str">
        <f t="shared" si="41"/>
        <v/>
      </c>
      <c r="N336" s="141" t="str">
        <f t="shared" si="42"/>
        <v/>
      </c>
    </row>
    <row r="337" spans="1:14">
      <c r="A337" s="145" t="str">
        <f>IF(C337="","",VLOOKUP('Opći dio'!$C$3,'Opći dio'!$L$6:$U$136,10,FALSE))</f>
        <v/>
      </c>
      <c r="B337" s="145" t="str">
        <f>IF(C337="","",VLOOKUP('Opći dio'!$C$3,'Opći dio'!$L$6:$U$136,9,FALSE))</f>
        <v/>
      </c>
      <c r="C337" s="151"/>
      <c r="D337" s="146" t="str">
        <f t="shared" si="38"/>
        <v/>
      </c>
      <c r="E337" s="151"/>
      <c r="F337" s="146" t="str">
        <f t="shared" si="39"/>
        <v/>
      </c>
      <c r="G337" s="186"/>
      <c r="H337" s="146" t="str">
        <f t="shared" si="40"/>
        <v/>
      </c>
      <c r="I337" s="185"/>
      <c r="J337" s="185"/>
      <c r="K337" s="185"/>
      <c r="M337" s="141" t="str">
        <f t="shared" si="41"/>
        <v/>
      </c>
      <c r="N337" s="141" t="str">
        <f t="shared" si="42"/>
        <v/>
      </c>
    </row>
    <row r="338" spans="1:14">
      <c r="A338" s="145" t="str">
        <f>IF(C338="","",VLOOKUP('Opći dio'!$C$3,'Opći dio'!$L$6:$U$136,10,FALSE))</f>
        <v/>
      </c>
      <c r="B338" s="145" t="str">
        <f>IF(C338="","",VLOOKUP('Opći dio'!$C$3,'Opći dio'!$L$6:$U$136,9,FALSE))</f>
        <v/>
      </c>
      <c r="C338" s="151"/>
      <c r="D338" s="146" t="str">
        <f t="shared" si="38"/>
        <v/>
      </c>
      <c r="E338" s="151"/>
      <c r="F338" s="146" t="str">
        <f t="shared" si="39"/>
        <v/>
      </c>
      <c r="G338" s="186"/>
      <c r="H338" s="146" t="str">
        <f t="shared" si="40"/>
        <v/>
      </c>
      <c r="I338" s="185"/>
      <c r="J338" s="185"/>
      <c r="K338" s="185"/>
      <c r="M338" s="141" t="str">
        <f t="shared" si="41"/>
        <v/>
      </c>
      <c r="N338" s="141" t="str">
        <f t="shared" si="42"/>
        <v/>
      </c>
    </row>
    <row r="339" spans="1:14">
      <c r="A339" s="145" t="str">
        <f>IF(C339="","",VLOOKUP('Opći dio'!$C$3,'Opći dio'!$L$6:$U$136,10,FALSE))</f>
        <v/>
      </c>
      <c r="B339" s="145" t="str">
        <f>IF(C339="","",VLOOKUP('Opći dio'!$C$3,'Opći dio'!$L$6:$U$136,9,FALSE))</f>
        <v/>
      </c>
      <c r="C339" s="151"/>
      <c r="D339" s="146" t="str">
        <f t="shared" si="38"/>
        <v/>
      </c>
      <c r="E339" s="151"/>
      <c r="F339" s="146" t="str">
        <f t="shared" si="39"/>
        <v/>
      </c>
      <c r="G339" s="186"/>
      <c r="H339" s="146" t="str">
        <f t="shared" si="40"/>
        <v/>
      </c>
      <c r="I339" s="185"/>
      <c r="J339" s="185"/>
      <c r="K339" s="185"/>
      <c r="M339" s="141" t="str">
        <f t="shared" si="41"/>
        <v/>
      </c>
      <c r="N339" s="141" t="str">
        <f t="shared" si="42"/>
        <v/>
      </c>
    </row>
    <row r="340" spans="1:14">
      <c r="A340" s="145" t="str">
        <f>IF(C340="","",VLOOKUP('Opći dio'!$C$3,'Opći dio'!$L$6:$U$136,10,FALSE))</f>
        <v/>
      </c>
      <c r="B340" s="145" t="str">
        <f>IF(C340="","",VLOOKUP('Opći dio'!$C$3,'Opći dio'!$L$6:$U$136,9,FALSE))</f>
        <v/>
      </c>
      <c r="C340" s="151"/>
      <c r="D340" s="146" t="str">
        <f t="shared" si="38"/>
        <v/>
      </c>
      <c r="E340" s="151"/>
      <c r="F340" s="146" t="str">
        <f t="shared" si="39"/>
        <v/>
      </c>
      <c r="G340" s="186"/>
      <c r="H340" s="146" t="str">
        <f t="shared" si="40"/>
        <v/>
      </c>
      <c r="I340" s="185"/>
      <c r="J340" s="185"/>
      <c r="K340" s="185"/>
      <c r="M340" s="141" t="str">
        <f t="shared" si="41"/>
        <v/>
      </c>
      <c r="N340" s="141" t="str">
        <f t="shared" si="42"/>
        <v/>
      </c>
    </row>
    <row r="341" spans="1:14">
      <c r="A341" s="145" t="str">
        <f>IF(C341="","",VLOOKUP('Opći dio'!$C$3,'Opći dio'!$L$6:$U$136,10,FALSE))</f>
        <v/>
      </c>
      <c r="B341" s="145" t="str">
        <f>IF(C341="","",VLOOKUP('Opći dio'!$C$3,'Opći dio'!$L$6:$U$136,9,FALSE))</f>
        <v/>
      </c>
      <c r="C341" s="151"/>
      <c r="D341" s="146" t="str">
        <f t="shared" si="38"/>
        <v/>
      </c>
      <c r="E341" s="151"/>
      <c r="F341" s="146" t="str">
        <f t="shared" si="39"/>
        <v/>
      </c>
      <c r="G341" s="186"/>
      <c r="H341" s="146" t="str">
        <f t="shared" si="40"/>
        <v/>
      </c>
      <c r="I341" s="185"/>
      <c r="J341" s="185"/>
      <c r="K341" s="185"/>
      <c r="M341" s="141" t="str">
        <f t="shared" si="41"/>
        <v/>
      </c>
      <c r="N341" s="141" t="str">
        <f t="shared" si="42"/>
        <v/>
      </c>
    </row>
    <row r="342" spans="1:14">
      <c r="A342" s="145" t="str">
        <f>IF(C342="","",VLOOKUP('Opći dio'!$C$3,'Opći dio'!$L$6:$U$136,10,FALSE))</f>
        <v/>
      </c>
      <c r="B342" s="145" t="str">
        <f>IF(C342="","",VLOOKUP('Opći dio'!$C$3,'Opći dio'!$L$6:$U$136,9,FALSE))</f>
        <v/>
      </c>
      <c r="C342" s="151"/>
      <c r="D342" s="146" t="str">
        <f t="shared" si="38"/>
        <v/>
      </c>
      <c r="E342" s="151"/>
      <c r="F342" s="146" t="str">
        <f t="shared" si="39"/>
        <v/>
      </c>
      <c r="G342" s="186"/>
      <c r="H342" s="146" t="str">
        <f t="shared" si="40"/>
        <v/>
      </c>
      <c r="I342" s="185"/>
      <c r="J342" s="185"/>
      <c r="K342" s="185"/>
      <c r="M342" s="141" t="str">
        <f t="shared" si="41"/>
        <v/>
      </c>
      <c r="N342" s="141" t="str">
        <f t="shared" si="42"/>
        <v/>
      </c>
    </row>
    <row r="343" spans="1:14">
      <c r="A343" s="145" t="str">
        <f>IF(C343="","",VLOOKUP('Opći dio'!$C$3,'Opći dio'!$L$6:$U$136,10,FALSE))</f>
        <v/>
      </c>
      <c r="B343" s="145" t="str">
        <f>IF(C343="","",VLOOKUP('Opći dio'!$C$3,'Opći dio'!$L$6:$U$136,9,FALSE))</f>
        <v/>
      </c>
      <c r="C343" s="151"/>
      <c r="D343" s="146" t="str">
        <f t="shared" si="38"/>
        <v/>
      </c>
      <c r="E343" s="151"/>
      <c r="F343" s="146" t="str">
        <f t="shared" si="39"/>
        <v/>
      </c>
      <c r="G343" s="186"/>
      <c r="H343" s="146" t="str">
        <f t="shared" si="40"/>
        <v/>
      </c>
      <c r="I343" s="185"/>
      <c r="J343" s="185"/>
      <c r="K343" s="185"/>
      <c r="M343" s="141" t="str">
        <f t="shared" si="41"/>
        <v/>
      </c>
      <c r="N343" s="141" t="str">
        <f t="shared" si="42"/>
        <v/>
      </c>
    </row>
    <row r="344" spans="1:14">
      <c r="A344" s="145" t="str">
        <f>IF(C344="","",VLOOKUP('Opći dio'!$C$3,'Opći dio'!$L$6:$U$136,10,FALSE))</f>
        <v/>
      </c>
      <c r="B344" s="145" t="str">
        <f>IF(C344="","",VLOOKUP('Opći dio'!$C$3,'Opći dio'!$L$6:$U$136,9,FALSE))</f>
        <v/>
      </c>
      <c r="C344" s="151"/>
      <c r="D344" s="146" t="str">
        <f t="shared" si="38"/>
        <v/>
      </c>
      <c r="E344" s="151"/>
      <c r="F344" s="146" t="str">
        <f t="shared" si="39"/>
        <v/>
      </c>
      <c r="G344" s="186"/>
      <c r="H344" s="146" t="str">
        <f t="shared" si="40"/>
        <v/>
      </c>
      <c r="I344" s="185"/>
      <c r="J344" s="185"/>
      <c r="K344" s="185"/>
      <c r="M344" s="141" t="str">
        <f t="shared" si="41"/>
        <v/>
      </c>
      <c r="N344" s="141" t="str">
        <f t="shared" si="42"/>
        <v/>
      </c>
    </row>
    <row r="345" spans="1:14">
      <c r="A345" s="145" t="str">
        <f>IF(C345="","",VLOOKUP('Opći dio'!$C$3,'Opći dio'!$L$6:$U$136,10,FALSE))</f>
        <v/>
      </c>
      <c r="B345" s="145" t="str">
        <f>IF(C345="","",VLOOKUP('Opći dio'!$C$3,'Opći dio'!$L$6:$U$136,9,FALSE))</f>
        <v/>
      </c>
      <c r="C345" s="151"/>
      <c r="D345" s="146" t="str">
        <f t="shared" si="38"/>
        <v/>
      </c>
      <c r="E345" s="151"/>
      <c r="F345" s="146" t="str">
        <f t="shared" si="39"/>
        <v/>
      </c>
      <c r="G345" s="186"/>
      <c r="H345" s="146" t="str">
        <f t="shared" si="40"/>
        <v/>
      </c>
      <c r="I345" s="185"/>
      <c r="J345" s="185"/>
      <c r="K345" s="185"/>
      <c r="M345" s="141" t="str">
        <f t="shared" si="41"/>
        <v/>
      </c>
      <c r="N345" s="141" t="str">
        <f t="shared" si="42"/>
        <v/>
      </c>
    </row>
    <row r="346" spans="1:14">
      <c r="A346" s="145" t="str">
        <f>IF(C346="","",VLOOKUP('Opći dio'!$C$3,'Opći dio'!$L$6:$U$136,10,FALSE))</f>
        <v/>
      </c>
      <c r="B346" s="145" t="str">
        <f>IF(C346="","",VLOOKUP('Opći dio'!$C$3,'Opći dio'!$L$6:$U$136,9,FALSE))</f>
        <v/>
      </c>
      <c r="C346" s="151"/>
      <c r="D346" s="146" t="str">
        <f t="shared" si="38"/>
        <v/>
      </c>
      <c r="E346" s="151"/>
      <c r="F346" s="146" t="str">
        <f t="shared" si="39"/>
        <v/>
      </c>
      <c r="G346" s="186"/>
      <c r="H346" s="146" t="str">
        <f t="shared" si="40"/>
        <v/>
      </c>
      <c r="I346" s="185"/>
      <c r="J346" s="185"/>
      <c r="K346" s="185"/>
      <c r="M346" s="141" t="str">
        <f t="shared" si="41"/>
        <v/>
      </c>
      <c r="N346" s="141" t="str">
        <f t="shared" si="42"/>
        <v/>
      </c>
    </row>
    <row r="347" spans="1:14">
      <c r="A347" s="145" t="str">
        <f>IF(C347="","",VLOOKUP('Opći dio'!$C$3,'Opći dio'!$L$6:$U$136,10,FALSE))</f>
        <v/>
      </c>
      <c r="B347" s="145" t="str">
        <f>IF(C347="","",VLOOKUP('Opći dio'!$C$3,'Opći dio'!$L$6:$U$136,9,FALSE))</f>
        <v/>
      </c>
      <c r="C347" s="151"/>
      <c r="D347" s="146" t="str">
        <f t="shared" si="38"/>
        <v/>
      </c>
      <c r="E347" s="151"/>
      <c r="F347" s="146" t="str">
        <f t="shared" si="39"/>
        <v/>
      </c>
      <c r="G347" s="186"/>
      <c r="H347" s="146" t="str">
        <f t="shared" si="40"/>
        <v/>
      </c>
      <c r="I347" s="185"/>
      <c r="J347" s="185"/>
      <c r="K347" s="185"/>
      <c r="M347" s="141" t="str">
        <f t="shared" si="41"/>
        <v/>
      </c>
      <c r="N347" s="141" t="str">
        <f t="shared" si="42"/>
        <v/>
      </c>
    </row>
    <row r="348" spans="1:14">
      <c r="A348" s="145" t="str">
        <f>IF(C348="","",VLOOKUP('Opći dio'!$C$3,'Opći dio'!$L$6:$U$136,10,FALSE))</f>
        <v/>
      </c>
      <c r="B348" s="145" t="str">
        <f>IF(C348="","",VLOOKUP('Opći dio'!$C$3,'Opći dio'!$L$6:$U$136,9,FALSE))</f>
        <v/>
      </c>
      <c r="C348" s="151"/>
      <c r="D348" s="146" t="str">
        <f t="shared" si="38"/>
        <v/>
      </c>
      <c r="E348" s="151"/>
      <c r="F348" s="146" t="str">
        <f t="shared" si="39"/>
        <v/>
      </c>
      <c r="G348" s="186"/>
      <c r="H348" s="146" t="str">
        <f t="shared" si="40"/>
        <v/>
      </c>
      <c r="I348" s="185"/>
      <c r="J348" s="185"/>
      <c r="K348" s="185"/>
      <c r="M348" s="141" t="str">
        <f t="shared" si="41"/>
        <v/>
      </c>
      <c r="N348" s="141" t="str">
        <f t="shared" si="42"/>
        <v/>
      </c>
    </row>
    <row r="349" spans="1:14">
      <c r="A349" s="145" t="str">
        <f>IF(C349="","",VLOOKUP('Opći dio'!$C$3,'Opći dio'!$L$6:$U$136,10,FALSE))</f>
        <v/>
      </c>
      <c r="B349" s="145" t="str">
        <f>IF(C349="","",VLOOKUP('Opći dio'!$C$3,'Opći dio'!$L$6:$U$136,9,FALSE))</f>
        <v/>
      </c>
      <c r="C349" s="151"/>
      <c r="D349" s="146" t="str">
        <f t="shared" si="38"/>
        <v/>
      </c>
      <c r="E349" s="151"/>
      <c r="F349" s="146" t="str">
        <f t="shared" si="39"/>
        <v/>
      </c>
      <c r="G349" s="186"/>
      <c r="H349" s="146" t="str">
        <f t="shared" si="40"/>
        <v/>
      </c>
      <c r="I349" s="185"/>
      <c r="J349" s="185"/>
      <c r="K349" s="185"/>
      <c r="M349" s="141" t="str">
        <f t="shared" si="41"/>
        <v/>
      </c>
      <c r="N349" s="141" t="str">
        <f t="shared" si="42"/>
        <v/>
      </c>
    </row>
    <row r="350" spans="1:14">
      <c r="A350" s="145" t="str">
        <f>IF(C350="","",VLOOKUP('Opći dio'!$C$3,'Opći dio'!$L$6:$U$136,10,FALSE))</f>
        <v/>
      </c>
      <c r="B350" s="145" t="str">
        <f>IF(C350="","",VLOOKUP('Opći dio'!$C$3,'Opći dio'!$L$6:$U$136,9,FALSE))</f>
        <v/>
      </c>
      <c r="C350" s="151"/>
      <c r="D350" s="146" t="str">
        <f t="shared" si="38"/>
        <v/>
      </c>
      <c r="E350" s="151"/>
      <c r="F350" s="146" t="str">
        <f t="shared" si="39"/>
        <v/>
      </c>
      <c r="G350" s="186"/>
      <c r="H350" s="146" t="str">
        <f t="shared" si="40"/>
        <v/>
      </c>
      <c r="I350" s="185"/>
      <c r="J350" s="185"/>
      <c r="K350" s="185"/>
      <c r="M350" s="141" t="str">
        <f t="shared" si="41"/>
        <v/>
      </c>
      <c r="N350" s="141" t="str">
        <f t="shared" si="42"/>
        <v/>
      </c>
    </row>
    <row r="351" spans="1:14">
      <c r="A351" s="145" t="str">
        <f>IF(C351="","",VLOOKUP('Opći dio'!$C$3,'Opći dio'!$L$6:$U$136,10,FALSE))</f>
        <v/>
      </c>
      <c r="B351" s="145" t="str">
        <f>IF(C351="","",VLOOKUP('Opći dio'!$C$3,'Opći dio'!$L$6:$U$136,9,FALSE))</f>
        <v/>
      </c>
      <c r="C351" s="151"/>
      <c r="D351" s="146" t="str">
        <f t="shared" si="38"/>
        <v/>
      </c>
      <c r="E351" s="151"/>
      <c r="F351" s="146" t="str">
        <f t="shared" si="39"/>
        <v/>
      </c>
      <c r="G351" s="186"/>
      <c r="H351" s="146" t="str">
        <f t="shared" si="40"/>
        <v/>
      </c>
      <c r="I351" s="185"/>
      <c r="J351" s="185"/>
      <c r="K351" s="185"/>
      <c r="M351" s="141" t="str">
        <f t="shared" si="41"/>
        <v/>
      </c>
      <c r="N351" s="141" t="str">
        <f t="shared" si="42"/>
        <v/>
      </c>
    </row>
    <row r="352" spans="1:14">
      <c r="A352" s="145" t="str">
        <f>IF(C352="","",VLOOKUP('Opći dio'!$C$3,'Opći dio'!$L$6:$U$136,10,FALSE))</f>
        <v/>
      </c>
      <c r="B352" s="145" t="str">
        <f>IF(C352="","",VLOOKUP('Opći dio'!$C$3,'Opći dio'!$L$6:$U$136,9,FALSE))</f>
        <v/>
      </c>
      <c r="C352" s="151"/>
      <c r="D352" s="146" t="str">
        <f t="shared" si="38"/>
        <v/>
      </c>
      <c r="E352" s="151"/>
      <c r="F352" s="146" t="str">
        <f t="shared" si="39"/>
        <v/>
      </c>
      <c r="G352" s="186"/>
      <c r="H352" s="146" t="str">
        <f t="shared" si="40"/>
        <v/>
      </c>
      <c r="I352" s="185"/>
      <c r="J352" s="185"/>
      <c r="K352" s="185"/>
      <c r="M352" s="141" t="str">
        <f t="shared" si="41"/>
        <v/>
      </c>
      <c r="N352" s="141" t="str">
        <f t="shared" si="42"/>
        <v/>
      </c>
    </row>
    <row r="353" spans="1:14">
      <c r="A353" s="145" t="str">
        <f>IF(C353="","",VLOOKUP('Opći dio'!$C$3,'Opći dio'!$L$6:$U$136,10,FALSE))</f>
        <v/>
      </c>
      <c r="B353" s="145" t="str">
        <f>IF(C353="","",VLOOKUP('Opći dio'!$C$3,'Opći dio'!$L$6:$U$136,9,FALSE))</f>
        <v/>
      </c>
      <c r="C353" s="151"/>
      <c r="D353" s="146" t="str">
        <f t="shared" si="38"/>
        <v/>
      </c>
      <c r="E353" s="151"/>
      <c r="F353" s="146" t="str">
        <f t="shared" si="39"/>
        <v/>
      </c>
      <c r="G353" s="186"/>
      <c r="H353" s="146" t="str">
        <f t="shared" si="40"/>
        <v/>
      </c>
      <c r="I353" s="185"/>
      <c r="J353" s="185"/>
      <c r="K353" s="185"/>
      <c r="M353" s="141" t="str">
        <f t="shared" si="41"/>
        <v/>
      </c>
      <c r="N353" s="141" t="str">
        <f t="shared" si="42"/>
        <v/>
      </c>
    </row>
    <row r="354" spans="1:14">
      <c r="A354" s="145" t="str">
        <f>IF(C354="","",VLOOKUP('Opći dio'!$C$3,'Opći dio'!$L$6:$U$136,10,FALSE))</f>
        <v/>
      </c>
      <c r="B354" s="145" t="str">
        <f>IF(C354="","",VLOOKUP('Opći dio'!$C$3,'Opći dio'!$L$6:$U$136,9,FALSE))</f>
        <v/>
      </c>
      <c r="C354" s="151"/>
      <c r="D354" s="146" t="str">
        <f t="shared" si="38"/>
        <v/>
      </c>
      <c r="E354" s="151"/>
      <c r="F354" s="146" t="str">
        <f t="shared" si="39"/>
        <v/>
      </c>
      <c r="G354" s="186"/>
      <c r="H354" s="146" t="str">
        <f t="shared" si="40"/>
        <v/>
      </c>
      <c r="I354" s="185"/>
      <c r="J354" s="185"/>
      <c r="K354" s="185"/>
      <c r="M354" s="141" t="str">
        <f t="shared" si="41"/>
        <v/>
      </c>
      <c r="N354" s="141" t="str">
        <f t="shared" si="42"/>
        <v/>
      </c>
    </row>
    <row r="355" spans="1:14">
      <c r="A355" s="145" t="str">
        <f>IF(C355="","",VLOOKUP('Opći dio'!$C$3,'Opći dio'!$L$6:$U$136,10,FALSE))</f>
        <v/>
      </c>
      <c r="B355" s="145" t="str">
        <f>IF(C355="","",VLOOKUP('Opći dio'!$C$3,'Opći dio'!$L$6:$U$136,9,FALSE))</f>
        <v/>
      </c>
      <c r="C355" s="151"/>
      <c r="D355" s="146" t="str">
        <f t="shared" si="38"/>
        <v/>
      </c>
      <c r="E355" s="151"/>
      <c r="F355" s="146" t="str">
        <f t="shared" si="39"/>
        <v/>
      </c>
      <c r="G355" s="186"/>
      <c r="H355" s="146" t="str">
        <f t="shared" si="40"/>
        <v/>
      </c>
      <c r="I355" s="185"/>
      <c r="J355" s="185"/>
      <c r="K355" s="185"/>
      <c r="M355" s="141" t="str">
        <f t="shared" si="41"/>
        <v/>
      </c>
      <c r="N355" s="141" t="str">
        <f t="shared" si="42"/>
        <v/>
      </c>
    </row>
    <row r="356" spans="1:14">
      <c r="A356" s="145" t="str">
        <f>IF(C356="","",VLOOKUP('Opći dio'!$C$3,'Opći dio'!$L$6:$U$136,10,FALSE))</f>
        <v/>
      </c>
      <c r="B356" s="145" t="str">
        <f>IF(C356="","",VLOOKUP('Opći dio'!$C$3,'Opći dio'!$L$6:$U$136,9,FALSE))</f>
        <v/>
      </c>
      <c r="C356" s="151"/>
      <c r="D356" s="146" t="str">
        <f t="shared" si="38"/>
        <v/>
      </c>
      <c r="E356" s="151"/>
      <c r="F356" s="146" t="str">
        <f t="shared" si="39"/>
        <v/>
      </c>
      <c r="G356" s="186"/>
      <c r="H356" s="146" t="str">
        <f t="shared" si="40"/>
        <v/>
      </c>
      <c r="I356" s="185"/>
      <c r="J356" s="185"/>
      <c r="K356" s="185"/>
      <c r="M356" s="141" t="str">
        <f t="shared" si="41"/>
        <v/>
      </c>
      <c r="N356" s="141" t="str">
        <f t="shared" si="42"/>
        <v/>
      </c>
    </row>
    <row r="357" spans="1:14">
      <c r="A357" s="145" t="str">
        <f>IF(C357="","",VLOOKUP('Opći dio'!$C$3,'Opći dio'!$L$6:$U$136,10,FALSE))</f>
        <v/>
      </c>
      <c r="B357" s="145" t="str">
        <f>IF(C357="","",VLOOKUP('Opći dio'!$C$3,'Opći dio'!$L$6:$U$136,9,FALSE))</f>
        <v/>
      </c>
      <c r="C357" s="151"/>
      <c r="D357" s="146" t="str">
        <f t="shared" si="38"/>
        <v/>
      </c>
      <c r="E357" s="151"/>
      <c r="F357" s="146" t="str">
        <f t="shared" si="39"/>
        <v/>
      </c>
      <c r="G357" s="186"/>
      <c r="H357" s="146" t="str">
        <f t="shared" si="40"/>
        <v/>
      </c>
      <c r="I357" s="185"/>
      <c r="J357" s="185"/>
      <c r="K357" s="185"/>
      <c r="M357" s="141" t="str">
        <f t="shared" si="41"/>
        <v/>
      </c>
      <c r="N357" s="141" t="str">
        <f t="shared" si="42"/>
        <v/>
      </c>
    </row>
    <row r="358" spans="1:14">
      <c r="A358" s="145" t="str">
        <f>IF(C358="","",VLOOKUP('Opći dio'!$C$3,'Opći dio'!$L$6:$U$136,10,FALSE))</f>
        <v/>
      </c>
      <c r="B358" s="145" t="str">
        <f>IF(C358="","",VLOOKUP('Opći dio'!$C$3,'Opći dio'!$L$6:$U$136,9,FALSE))</f>
        <v/>
      </c>
      <c r="C358" s="151"/>
      <c r="D358" s="146" t="str">
        <f t="shared" si="38"/>
        <v/>
      </c>
      <c r="E358" s="151"/>
      <c r="F358" s="146" t="str">
        <f t="shared" si="39"/>
        <v/>
      </c>
      <c r="G358" s="186"/>
      <c r="H358" s="146" t="str">
        <f t="shared" si="40"/>
        <v/>
      </c>
      <c r="I358" s="185"/>
      <c r="J358" s="185"/>
      <c r="K358" s="185"/>
      <c r="M358" s="141" t="str">
        <f t="shared" si="41"/>
        <v/>
      </c>
      <c r="N358" s="141" t="str">
        <f t="shared" si="42"/>
        <v/>
      </c>
    </row>
    <row r="359" spans="1:14">
      <c r="A359" s="145" t="str">
        <f>IF(C359="","",VLOOKUP('Opći dio'!$C$3,'Opći dio'!$L$6:$U$136,10,FALSE))</f>
        <v/>
      </c>
      <c r="B359" s="145" t="str">
        <f>IF(C359="","",VLOOKUP('Opći dio'!$C$3,'Opći dio'!$L$6:$U$136,9,FALSE))</f>
        <v/>
      </c>
      <c r="C359" s="151"/>
      <c r="D359" s="146" t="str">
        <f t="shared" si="38"/>
        <v/>
      </c>
      <c r="E359" s="151"/>
      <c r="F359" s="146" t="str">
        <f t="shared" si="39"/>
        <v/>
      </c>
      <c r="G359" s="186"/>
      <c r="H359" s="146" t="str">
        <f t="shared" si="40"/>
        <v/>
      </c>
      <c r="I359" s="185"/>
      <c r="J359" s="185"/>
      <c r="K359" s="185"/>
      <c r="M359" s="141" t="str">
        <f t="shared" si="41"/>
        <v/>
      </c>
      <c r="N359" s="141" t="str">
        <f t="shared" si="42"/>
        <v/>
      </c>
    </row>
    <row r="360" spans="1:14">
      <c r="A360" s="145" t="str">
        <f>IF(C360="","",VLOOKUP('Opći dio'!$C$3,'Opći dio'!$L$6:$U$136,10,FALSE))</f>
        <v/>
      </c>
      <c r="B360" s="145" t="str">
        <f>IF(C360="","",VLOOKUP('Opći dio'!$C$3,'Opći dio'!$L$6:$U$136,9,FALSE))</f>
        <v/>
      </c>
      <c r="C360" s="151"/>
      <c r="D360" s="146" t="str">
        <f t="shared" si="38"/>
        <v/>
      </c>
      <c r="E360" s="151"/>
      <c r="F360" s="146" t="str">
        <f t="shared" si="39"/>
        <v/>
      </c>
      <c r="G360" s="186"/>
      <c r="H360" s="146" t="str">
        <f t="shared" si="40"/>
        <v/>
      </c>
      <c r="I360" s="185"/>
      <c r="J360" s="185"/>
      <c r="K360" s="185"/>
      <c r="M360" s="141" t="str">
        <f t="shared" si="41"/>
        <v/>
      </c>
      <c r="N360" s="141" t="str">
        <f t="shared" si="42"/>
        <v/>
      </c>
    </row>
    <row r="361" spans="1:14">
      <c r="A361" s="145" t="str">
        <f>IF(C361="","",VLOOKUP('Opći dio'!$C$3,'Opći dio'!$L$6:$U$136,10,FALSE))</f>
        <v/>
      </c>
      <c r="B361" s="145" t="str">
        <f>IF(C361="","",VLOOKUP('Opći dio'!$C$3,'Opći dio'!$L$6:$U$136,9,FALSE))</f>
        <v/>
      </c>
      <c r="C361" s="151"/>
      <c r="D361" s="146" t="str">
        <f t="shared" si="38"/>
        <v/>
      </c>
      <c r="E361" s="151"/>
      <c r="F361" s="146" t="str">
        <f t="shared" si="39"/>
        <v/>
      </c>
      <c r="G361" s="186"/>
      <c r="H361" s="146" t="str">
        <f t="shared" si="40"/>
        <v/>
      </c>
      <c r="I361" s="185"/>
      <c r="J361" s="185"/>
      <c r="K361" s="185"/>
      <c r="M361" s="141" t="str">
        <f t="shared" si="41"/>
        <v/>
      </c>
      <c r="N361" s="141" t="str">
        <f t="shared" si="42"/>
        <v/>
      </c>
    </row>
    <row r="362" spans="1:14">
      <c r="A362" s="145" t="str">
        <f>IF(C362="","",VLOOKUP('Opći dio'!$C$3,'Opći dio'!$L$6:$U$136,10,FALSE))</f>
        <v/>
      </c>
      <c r="B362" s="145" t="str">
        <f>IF(C362="","",VLOOKUP('Opći dio'!$C$3,'Opći dio'!$L$6:$U$136,9,FALSE))</f>
        <v/>
      </c>
      <c r="C362" s="151"/>
      <c r="D362" s="146" t="str">
        <f t="shared" si="38"/>
        <v/>
      </c>
      <c r="E362" s="151"/>
      <c r="F362" s="146" t="str">
        <f t="shared" si="39"/>
        <v/>
      </c>
      <c r="G362" s="186"/>
      <c r="H362" s="146" t="str">
        <f t="shared" si="40"/>
        <v/>
      </c>
      <c r="I362" s="185"/>
      <c r="J362" s="185"/>
      <c r="K362" s="185"/>
      <c r="M362" s="141" t="str">
        <f t="shared" si="41"/>
        <v/>
      </c>
      <c r="N362" s="141" t="str">
        <f t="shared" si="42"/>
        <v/>
      </c>
    </row>
    <row r="363" spans="1:14">
      <c r="A363" s="145" t="str">
        <f>IF(C363="","",VLOOKUP('Opći dio'!$C$3,'Opći dio'!$L$6:$U$136,10,FALSE))</f>
        <v/>
      </c>
      <c r="B363" s="145" t="str">
        <f>IF(C363="","",VLOOKUP('Opći dio'!$C$3,'Opći dio'!$L$6:$U$136,9,FALSE))</f>
        <v/>
      </c>
      <c r="C363" s="151"/>
      <c r="D363" s="146" t="str">
        <f t="shared" si="38"/>
        <v/>
      </c>
      <c r="E363" s="151"/>
      <c r="F363" s="146" t="str">
        <f t="shared" si="39"/>
        <v/>
      </c>
      <c r="G363" s="186"/>
      <c r="H363" s="146" t="str">
        <f t="shared" si="40"/>
        <v/>
      </c>
      <c r="I363" s="185"/>
      <c r="J363" s="185"/>
      <c r="K363" s="185"/>
      <c r="M363" s="141" t="str">
        <f t="shared" si="41"/>
        <v/>
      </c>
      <c r="N363" s="141" t="str">
        <f t="shared" si="42"/>
        <v/>
      </c>
    </row>
    <row r="364" spans="1:14">
      <c r="A364" s="145" t="str">
        <f>IF(C364="","",VLOOKUP('Opći dio'!$C$3,'Opći dio'!$L$6:$U$136,10,FALSE))</f>
        <v/>
      </c>
      <c r="B364" s="145" t="str">
        <f>IF(C364="","",VLOOKUP('Opći dio'!$C$3,'Opći dio'!$L$6:$U$136,9,FALSE))</f>
        <v/>
      </c>
      <c r="C364" s="151"/>
      <c r="D364" s="146" t="str">
        <f t="shared" si="38"/>
        <v/>
      </c>
      <c r="E364" s="151"/>
      <c r="F364" s="146" t="str">
        <f t="shared" si="39"/>
        <v/>
      </c>
      <c r="G364" s="186"/>
      <c r="H364" s="146" t="str">
        <f t="shared" si="40"/>
        <v/>
      </c>
      <c r="I364" s="185"/>
      <c r="J364" s="185"/>
      <c r="K364" s="185"/>
      <c r="M364" s="141" t="str">
        <f t="shared" si="41"/>
        <v/>
      </c>
      <c r="N364" s="141" t="str">
        <f t="shared" si="42"/>
        <v/>
      </c>
    </row>
    <row r="365" spans="1:14">
      <c r="A365" s="145" t="str">
        <f>IF(C365="","",VLOOKUP('Opći dio'!$C$3,'Opći dio'!$L$6:$U$136,10,FALSE))</f>
        <v/>
      </c>
      <c r="B365" s="145" t="str">
        <f>IF(C365="","",VLOOKUP('Opći dio'!$C$3,'Opći dio'!$L$6:$U$136,9,FALSE))</f>
        <v/>
      </c>
      <c r="C365" s="151"/>
      <c r="D365" s="146" t="str">
        <f t="shared" si="38"/>
        <v/>
      </c>
      <c r="E365" s="151"/>
      <c r="F365" s="146" t="str">
        <f t="shared" si="39"/>
        <v/>
      </c>
      <c r="G365" s="186"/>
      <c r="H365" s="146" t="str">
        <f t="shared" si="40"/>
        <v/>
      </c>
      <c r="I365" s="185"/>
      <c r="J365" s="185"/>
      <c r="K365" s="185"/>
      <c r="M365" s="141" t="str">
        <f t="shared" si="41"/>
        <v/>
      </c>
      <c r="N365" s="141" t="str">
        <f t="shared" si="42"/>
        <v/>
      </c>
    </row>
    <row r="366" spans="1:14">
      <c r="A366" s="145" t="str">
        <f>IF(C366="","",VLOOKUP('Opći dio'!$C$3,'Opći dio'!$L$6:$U$136,10,FALSE))</f>
        <v/>
      </c>
      <c r="B366" s="145" t="str">
        <f>IF(C366="","",VLOOKUP('Opći dio'!$C$3,'Opći dio'!$L$6:$U$136,9,FALSE))</f>
        <v/>
      </c>
      <c r="C366" s="151"/>
      <c r="D366" s="146" t="str">
        <f t="shared" si="38"/>
        <v/>
      </c>
      <c r="E366" s="151"/>
      <c r="F366" s="146" t="str">
        <f t="shared" si="39"/>
        <v/>
      </c>
      <c r="G366" s="186"/>
      <c r="H366" s="146" t="str">
        <f t="shared" si="40"/>
        <v/>
      </c>
      <c r="I366" s="185"/>
      <c r="J366" s="185"/>
      <c r="K366" s="185"/>
      <c r="M366" s="141" t="str">
        <f t="shared" si="41"/>
        <v/>
      </c>
      <c r="N366" s="141" t="str">
        <f t="shared" si="42"/>
        <v/>
      </c>
    </row>
    <row r="367" spans="1:14">
      <c r="A367" s="145" t="str">
        <f>IF(C367="","",VLOOKUP('Opći dio'!$C$3,'Opći dio'!$L$6:$U$136,10,FALSE))</f>
        <v/>
      </c>
      <c r="B367" s="145" t="str">
        <f>IF(C367="","",VLOOKUP('Opći dio'!$C$3,'Opći dio'!$L$6:$U$136,9,FALSE))</f>
        <v/>
      </c>
      <c r="C367" s="151"/>
      <c r="D367" s="146" t="str">
        <f t="shared" si="38"/>
        <v/>
      </c>
      <c r="E367" s="151"/>
      <c r="F367" s="146" t="str">
        <f t="shared" si="39"/>
        <v/>
      </c>
      <c r="G367" s="186"/>
      <c r="H367" s="146" t="str">
        <f t="shared" si="40"/>
        <v/>
      </c>
      <c r="I367" s="185"/>
      <c r="J367" s="185"/>
      <c r="K367" s="185"/>
      <c r="M367" s="141" t="str">
        <f t="shared" si="41"/>
        <v/>
      </c>
      <c r="N367" s="141" t="str">
        <f t="shared" si="42"/>
        <v/>
      </c>
    </row>
    <row r="368" spans="1:14">
      <c r="A368" s="145" t="str">
        <f>IF(C368="","",VLOOKUP('Opći dio'!$C$3,'Opći dio'!$L$6:$U$136,10,FALSE))</f>
        <v/>
      </c>
      <c r="B368" s="145" t="str">
        <f>IF(C368="","",VLOOKUP('Opći dio'!$C$3,'Opći dio'!$L$6:$U$136,9,FALSE))</f>
        <v/>
      </c>
      <c r="C368" s="151"/>
      <c r="D368" s="146" t="str">
        <f t="shared" si="38"/>
        <v/>
      </c>
      <c r="E368" s="151"/>
      <c r="F368" s="146" t="str">
        <f t="shared" si="39"/>
        <v/>
      </c>
      <c r="G368" s="186"/>
      <c r="H368" s="146" t="str">
        <f t="shared" si="40"/>
        <v/>
      </c>
      <c r="I368" s="185"/>
      <c r="J368" s="185"/>
      <c r="K368" s="185"/>
      <c r="M368" s="141" t="str">
        <f t="shared" si="41"/>
        <v/>
      </c>
      <c r="N368" s="141" t="str">
        <f t="shared" si="42"/>
        <v/>
      </c>
    </row>
    <row r="369" spans="1:14">
      <c r="A369" s="145" t="str">
        <f>IF(C369="","",VLOOKUP('Opći dio'!$C$3,'Opći dio'!$L$6:$U$136,10,FALSE))</f>
        <v/>
      </c>
      <c r="B369" s="145" t="str">
        <f>IF(C369="","",VLOOKUP('Opći dio'!$C$3,'Opći dio'!$L$6:$U$136,9,FALSE))</f>
        <v/>
      </c>
      <c r="C369" s="151"/>
      <c r="D369" s="146" t="str">
        <f t="shared" si="38"/>
        <v/>
      </c>
      <c r="E369" s="151"/>
      <c r="F369" s="146" t="str">
        <f t="shared" si="39"/>
        <v/>
      </c>
      <c r="G369" s="186"/>
      <c r="H369" s="146" t="str">
        <f t="shared" si="40"/>
        <v/>
      </c>
      <c r="I369" s="185"/>
      <c r="J369" s="185"/>
      <c r="K369" s="185"/>
      <c r="M369" s="141" t="str">
        <f t="shared" si="41"/>
        <v/>
      </c>
      <c r="N369" s="141" t="str">
        <f t="shared" si="42"/>
        <v/>
      </c>
    </row>
    <row r="370" spans="1:14">
      <c r="A370" s="145" t="str">
        <f>IF(C370="","",VLOOKUP('Opći dio'!$C$3,'Opći dio'!$L$6:$U$136,10,FALSE))</f>
        <v/>
      </c>
      <c r="B370" s="145" t="str">
        <f>IF(C370="","",VLOOKUP('Opći dio'!$C$3,'Opći dio'!$L$6:$U$136,9,FALSE))</f>
        <v/>
      </c>
      <c r="C370" s="151"/>
      <c r="D370" s="146" t="str">
        <f t="shared" si="38"/>
        <v/>
      </c>
      <c r="E370" s="151"/>
      <c r="F370" s="146" t="str">
        <f t="shared" si="39"/>
        <v/>
      </c>
      <c r="G370" s="186"/>
      <c r="H370" s="146" t="str">
        <f t="shared" si="40"/>
        <v/>
      </c>
      <c r="I370" s="185"/>
      <c r="J370" s="185"/>
      <c r="K370" s="185"/>
      <c r="M370" s="141" t="str">
        <f t="shared" si="41"/>
        <v/>
      </c>
      <c r="N370" s="141" t="str">
        <f t="shared" si="42"/>
        <v/>
      </c>
    </row>
    <row r="371" spans="1:14">
      <c r="A371" s="145" t="str">
        <f>IF(C371="","",VLOOKUP('Opći dio'!$C$3,'Opći dio'!$L$6:$U$136,10,FALSE))</f>
        <v/>
      </c>
      <c r="B371" s="145" t="str">
        <f>IF(C371="","",VLOOKUP('Opći dio'!$C$3,'Opći dio'!$L$6:$U$136,9,FALSE))</f>
        <v/>
      </c>
      <c r="C371" s="151"/>
      <c r="D371" s="146" t="str">
        <f t="shared" si="38"/>
        <v/>
      </c>
      <c r="E371" s="151"/>
      <c r="F371" s="146" t="str">
        <f t="shared" si="39"/>
        <v/>
      </c>
      <c r="G371" s="186"/>
      <c r="H371" s="146" t="str">
        <f t="shared" si="40"/>
        <v/>
      </c>
      <c r="I371" s="185"/>
      <c r="J371" s="185"/>
      <c r="K371" s="185"/>
      <c r="M371" s="141" t="str">
        <f t="shared" si="41"/>
        <v/>
      </c>
      <c r="N371" s="141" t="str">
        <f t="shared" si="42"/>
        <v/>
      </c>
    </row>
    <row r="372" spans="1:14">
      <c r="A372" s="145" t="str">
        <f>IF(C372="","",VLOOKUP('Opći dio'!$C$3,'Opći dio'!$L$6:$U$136,10,FALSE))</f>
        <v/>
      </c>
      <c r="B372" s="145" t="str">
        <f>IF(C372="","",VLOOKUP('Opći dio'!$C$3,'Opći dio'!$L$6:$U$136,9,FALSE))</f>
        <v/>
      </c>
      <c r="C372" s="151"/>
      <c r="D372" s="146" t="str">
        <f t="shared" si="38"/>
        <v/>
      </c>
      <c r="E372" s="151"/>
      <c r="F372" s="146" t="str">
        <f t="shared" si="39"/>
        <v/>
      </c>
      <c r="G372" s="186"/>
      <c r="H372" s="146" t="str">
        <f t="shared" si="40"/>
        <v/>
      </c>
      <c r="I372" s="185"/>
      <c r="J372" s="185"/>
      <c r="K372" s="185"/>
      <c r="M372" s="141" t="str">
        <f t="shared" si="41"/>
        <v/>
      </c>
      <c r="N372" s="141" t="str">
        <f t="shared" si="42"/>
        <v/>
      </c>
    </row>
    <row r="373" spans="1:14">
      <c r="A373" s="145" t="str">
        <f>IF(C373="","",VLOOKUP('Opći dio'!$C$3,'Opći dio'!$L$6:$U$136,10,FALSE))</f>
        <v/>
      </c>
      <c r="B373" s="145" t="str">
        <f>IF(C373="","",VLOOKUP('Opći dio'!$C$3,'Opći dio'!$L$6:$U$136,9,FALSE))</f>
        <v/>
      </c>
      <c r="C373" s="151"/>
      <c r="D373" s="146" t="str">
        <f t="shared" si="38"/>
        <v/>
      </c>
      <c r="E373" s="151"/>
      <c r="F373" s="146" t="str">
        <f t="shared" si="39"/>
        <v/>
      </c>
      <c r="G373" s="186"/>
      <c r="H373" s="146" t="str">
        <f t="shared" si="40"/>
        <v/>
      </c>
      <c r="I373" s="185"/>
      <c r="J373" s="185"/>
      <c r="K373" s="185"/>
      <c r="M373" s="141" t="str">
        <f t="shared" si="41"/>
        <v/>
      </c>
      <c r="N373" s="141" t="str">
        <f t="shared" si="42"/>
        <v/>
      </c>
    </row>
    <row r="374" spans="1:14">
      <c r="A374" s="145" t="str">
        <f>IF(C374="","",VLOOKUP('Opći dio'!$C$3,'Opći dio'!$L$6:$U$136,10,FALSE))</f>
        <v/>
      </c>
      <c r="B374" s="145" t="str">
        <f>IF(C374="","",VLOOKUP('Opći dio'!$C$3,'Opći dio'!$L$6:$U$136,9,FALSE))</f>
        <v/>
      </c>
      <c r="C374" s="151"/>
      <c r="D374" s="146" t="str">
        <f t="shared" si="38"/>
        <v/>
      </c>
      <c r="E374" s="151"/>
      <c r="F374" s="146" t="str">
        <f t="shared" si="39"/>
        <v/>
      </c>
      <c r="G374" s="186"/>
      <c r="H374" s="146" t="str">
        <f t="shared" si="40"/>
        <v/>
      </c>
      <c r="I374" s="185"/>
      <c r="J374" s="185"/>
      <c r="K374" s="185"/>
      <c r="M374" s="141" t="str">
        <f t="shared" si="41"/>
        <v/>
      </c>
      <c r="N374" s="141" t="str">
        <f t="shared" si="42"/>
        <v/>
      </c>
    </row>
    <row r="375" spans="1:14">
      <c r="A375" s="145" t="str">
        <f>IF(C375="","",VLOOKUP('Opći dio'!$C$3,'Opći dio'!$L$6:$U$136,10,FALSE))</f>
        <v/>
      </c>
      <c r="B375" s="145" t="str">
        <f>IF(C375="","",VLOOKUP('Opći dio'!$C$3,'Opći dio'!$L$6:$U$136,9,FALSE))</f>
        <v/>
      </c>
      <c r="C375" s="151"/>
      <c r="D375" s="146" t="str">
        <f t="shared" si="38"/>
        <v/>
      </c>
      <c r="E375" s="151"/>
      <c r="F375" s="146" t="str">
        <f t="shared" si="39"/>
        <v/>
      </c>
      <c r="G375" s="186"/>
      <c r="H375" s="146" t="str">
        <f t="shared" si="40"/>
        <v/>
      </c>
      <c r="I375" s="185"/>
      <c r="J375" s="185"/>
      <c r="K375" s="185"/>
      <c r="M375" s="141" t="str">
        <f t="shared" si="41"/>
        <v/>
      </c>
      <c r="N375" s="141" t="str">
        <f t="shared" si="42"/>
        <v/>
      </c>
    </row>
    <row r="376" spans="1:14">
      <c r="A376" s="145" t="str">
        <f>IF(C376="","",VLOOKUP('Opći dio'!$C$3,'Opći dio'!$L$6:$U$136,10,FALSE))</f>
        <v/>
      </c>
      <c r="B376" s="145" t="str">
        <f>IF(C376="","",VLOOKUP('Opći dio'!$C$3,'Opći dio'!$L$6:$U$136,9,FALSE))</f>
        <v/>
      </c>
      <c r="C376" s="151"/>
      <c r="D376" s="146" t="str">
        <f t="shared" si="38"/>
        <v/>
      </c>
      <c r="E376" s="151"/>
      <c r="F376" s="146" t="str">
        <f t="shared" si="39"/>
        <v/>
      </c>
      <c r="G376" s="186"/>
      <c r="H376" s="146" t="str">
        <f t="shared" si="40"/>
        <v/>
      </c>
      <c r="I376" s="185"/>
      <c r="J376" s="185"/>
      <c r="K376" s="185"/>
      <c r="M376" s="141" t="str">
        <f t="shared" si="41"/>
        <v/>
      </c>
      <c r="N376" s="141" t="str">
        <f t="shared" si="42"/>
        <v/>
      </c>
    </row>
    <row r="377" spans="1:14">
      <c r="A377" s="145" t="str">
        <f>IF(C377="","",VLOOKUP('Opći dio'!$C$3,'Opći dio'!$L$6:$U$136,10,FALSE))</f>
        <v/>
      </c>
      <c r="B377" s="145" t="str">
        <f>IF(C377="","",VLOOKUP('Opći dio'!$C$3,'Opći dio'!$L$6:$U$136,9,FALSE))</f>
        <v/>
      </c>
      <c r="C377" s="151"/>
      <c r="D377" s="146" t="str">
        <f t="shared" si="38"/>
        <v/>
      </c>
      <c r="E377" s="151"/>
      <c r="F377" s="146" t="str">
        <f t="shared" si="39"/>
        <v/>
      </c>
      <c r="G377" s="186"/>
      <c r="H377" s="146" t="str">
        <f t="shared" si="40"/>
        <v/>
      </c>
      <c r="I377" s="185"/>
      <c r="J377" s="185"/>
      <c r="K377" s="185"/>
      <c r="M377" s="141" t="str">
        <f t="shared" si="41"/>
        <v/>
      </c>
      <c r="N377" s="141" t="str">
        <f t="shared" si="42"/>
        <v/>
      </c>
    </row>
    <row r="378" spans="1:14">
      <c r="A378" s="145" t="str">
        <f>IF(C378="","",VLOOKUP('Opći dio'!$C$3,'Opći dio'!$L$6:$U$136,10,FALSE))</f>
        <v/>
      </c>
      <c r="B378" s="145" t="str">
        <f>IF(C378="","",VLOOKUP('Opći dio'!$C$3,'Opći dio'!$L$6:$U$136,9,FALSE))</f>
        <v/>
      </c>
      <c r="C378" s="151"/>
      <c r="D378" s="146" t="str">
        <f t="shared" si="38"/>
        <v/>
      </c>
      <c r="E378" s="151"/>
      <c r="F378" s="146" t="str">
        <f t="shared" si="39"/>
        <v/>
      </c>
      <c r="G378" s="186"/>
      <c r="H378" s="146" t="str">
        <f t="shared" si="40"/>
        <v/>
      </c>
      <c r="I378" s="185"/>
      <c r="J378" s="185"/>
      <c r="K378" s="185"/>
      <c r="M378" s="141" t="str">
        <f t="shared" si="41"/>
        <v/>
      </c>
      <c r="N378" s="141" t="str">
        <f t="shared" si="42"/>
        <v/>
      </c>
    </row>
    <row r="379" spans="1:14">
      <c r="A379" s="145" t="str">
        <f>IF(C379="","",VLOOKUP('Opći dio'!$C$3,'Opći dio'!$L$6:$U$136,10,FALSE))</f>
        <v/>
      </c>
      <c r="B379" s="145" t="str">
        <f>IF(C379="","",VLOOKUP('Opći dio'!$C$3,'Opći dio'!$L$6:$U$136,9,FALSE))</f>
        <v/>
      </c>
      <c r="C379" s="151"/>
      <c r="D379" s="146" t="str">
        <f t="shared" si="38"/>
        <v/>
      </c>
      <c r="E379" s="151"/>
      <c r="F379" s="146" t="str">
        <f t="shared" si="39"/>
        <v/>
      </c>
      <c r="G379" s="186"/>
      <c r="H379" s="146" t="str">
        <f t="shared" si="40"/>
        <v/>
      </c>
      <c r="I379" s="185"/>
      <c r="J379" s="185"/>
      <c r="K379" s="185"/>
      <c r="M379" s="141" t="str">
        <f t="shared" si="41"/>
        <v/>
      </c>
      <c r="N379" s="141" t="str">
        <f t="shared" si="42"/>
        <v/>
      </c>
    </row>
    <row r="380" spans="1:14">
      <c r="A380" s="145" t="str">
        <f>IF(C380="","",VLOOKUP('Opći dio'!$C$3,'Opći dio'!$L$6:$U$136,10,FALSE))</f>
        <v/>
      </c>
      <c r="B380" s="145" t="str">
        <f>IF(C380="","",VLOOKUP('Opći dio'!$C$3,'Opći dio'!$L$6:$U$136,9,FALSE))</f>
        <v/>
      </c>
      <c r="C380" s="151"/>
      <c r="D380" s="146" t="str">
        <f t="shared" si="38"/>
        <v/>
      </c>
      <c r="E380" s="151"/>
      <c r="F380" s="146" t="str">
        <f t="shared" si="39"/>
        <v/>
      </c>
      <c r="G380" s="186"/>
      <c r="H380" s="146" t="str">
        <f t="shared" si="40"/>
        <v/>
      </c>
      <c r="I380" s="185"/>
      <c r="J380" s="185"/>
      <c r="K380" s="185"/>
      <c r="M380" s="141" t="str">
        <f t="shared" si="41"/>
        <v/>
      </c>
      <c r="N380" s="141" t="str">
        <f t="shared" si="42"/>
        <v/>
      </c>
    </row>
    <row r="381" spans="1:14">
      <c r="A381" s="145" t="str">
        <f>IF(C381="","",VLOOKUP('Opći dio'!$C$3,'Opći dio'!$L$6:$U$136,10,FALSE))</f>
        <v/>
      </c>
      <c r="B381" s="145" t="str">
        <f>IF(C381="","",VLOOKUP('Opći dio'!$C$3,'Opći dio'!$L$6:$U$136,9,FALSE))</f>
        <v/>
      </c>
      <c r="C381" s="151"/>
      <c r="D381" s="146" t="str">
        <f t="shared" si="38"/>
        <v/>
      </c>
      <c r="E381" s="151"/>
      <c r="F381" s="146" t="str">
        <f t="shared" si="39"/>
        <v/>
      </c>
      <c r="G381" s="186"/>
      <c r="H381" s="146" t="str">
        <f t="shared" si="40"/>
        <v/>
      </c>
      <c r="I381" s="185"/>
      <c r="J381" s="185"/>
      <c r="K381" s="185"/>
      <c r="M381" s="141" t="str">
        <f t="shared" si="41"/>
        <v/>
      </c>
      <c r="N381" s="141" t="str">
        <f t="shared" si="42"/>
        <v/>
      </c>
    </row>
    <row r="382" spans="1:14">
      <c r="A382" s="145" t="str">
        <f>IF(C382="","",VLOOKUP('Opći dio'!$C$3,'Opći dio'!$L$6:$U$136,10,FALSE))</f>
        <v/>
      </c>
      <c r="B382" s="145" t="str">
        <f>IF(C382="","",VLOOKUP('Opći dio'!$C$3,'Opći dio'!$L$6:$U$136,9,FALSE))</f>
        <v/>
      </c>
      <c r="C382" s="151"/>
      <c r="D382" s="146" t="str">
        <f t="shared" si="38"/>
        <v/>
      </c>
      <c r="E382" s="151"/>
      <c r="F382" s="146" t="str">
        <f t="shared" si="39"/>
        <v/>
      </c>
      <c r="G382" s="186"/>
      <c r="H382" s="146" t="str">
        <f t="shared" si="40"/>
        <v/>
      </c>
      <c r="I382" s="185"/>
      <c r="J382" s="185"/>
      <c r="K382" s="185"/>
      <c r="M382" s="141" t="str">
        <f t="shared" si="41"/>
        <v/>
      </c>
      <c r="N382" s="141" t="str">
        <f t="shared" si="42"/>
        <v/>
      </c>
    </row>
    <row r="383" spans="1:14">
      <c r="A383" s="145" t="str">
        <f>IF(C383="","",VLOOKUP('Opći dio'!$C$3,'Opći dio'!$L$6:$U$136,10,FALSE))</f>
        <v/>
      </c>
      <c r="B383" s="145" t="str">
        <f>IF(C383="","",VLOOKUP('Opći dio'!$C$3,'Opći dio'!$L$6:$U$136,9,FALSE))</f>
        <v/>
      </c>
      <c r="C383" s="151"/>
      <c r="D383" s="146" t="str">
        <f t="shared" si="38"/>
        <v/>
      </c>
      <c r="E383" s="151"/>
      <c r="F383" s="146" t="str">
        <f t="shared" si="39"/>
        <v/>
      </c>
      <c r="G383" s="186"/>
      <c r="H383" s="146" t="str">
        <f t="shared" si="40"/>
        <v/>
      </c>
      <c r="I383" s="185"/>
      <c r="J383" s="185"/>
      <c r="K383" s="185"/>
      <c r="M383" s="141" t="str">
        <f t="shared" si="41"/>
        <v/>
      </c>
      <c r="N383" s="141" t="str">
        <f t="shared" si="42"/>
        <v/>
      </c>
    </row>
    <row r="384" spans="1:14">
      <c r="A384" s="145" t="str">
        <f>IF(C384="","",VLOOKUP('Opći dio'!$C$3,'Opći dio'!$L$6:$U$136,10,FALSE))</f>
        <v/>
      </c>
      <c r="B384" s="145" t="str">
        <f>IF(C384="","",VLOOKUP('Opći dio'!$C$3,'Opći dio'!$L$6:$U$136,9,FALSE))</f>
        <v/>
      </c>
      <c r="C384" s="151"/>
      <c r="D384" s="146" t="str">
        <f t="shared" si="38"/>
        <v/>
      </c>
      <c r="E384" s="151"/>
      <c r="F384" s="146" t="str">
        <f t="shared" si="39"/>
        <v/>
      </c>
      <c r="G384" s="186"/>
      <c r="H384" s="146" t="str">
        <f t="shared" si="40"/>
        <v/>
      </c>
      <c r="I384" s="185"/>
      <c r="J384" s="185"/>
      <c r="K384" s="185"/>
      <c r="M384" s="141" t="str">
        <f t="shared" si="41"/>
        <v/>
      </c>
      <c r="N384" s="141" t="str">
        <f t="shared" si="42"/>
        <v/>
      </c>
    </row>
    <row r="385" spans="1:14">
      <c r="A385" s="145" t="str">
        <f>IF(C385="","",VLOOKUP('Opći dio'!$C$3,'Opći dio'!$L$6:$U$136,10,FALSE))</f>
        <v/>
      </c>
      <c r="B385" s="145" t="str">
        <f>IF(C385="","",VLOOKUP('Opći dio'!$C$3,'Opći dio'!$L$6:$U$136,9,FALSE))</f>
        <v/>
      </c>
      <c r="C385" s="151"/>
      <c r="D385" s="146" t="str">
        <f t="shared" si="38"/>
        <v/>
      </c>
      <c r="E385" s="151"/>
      <c r="F385" s="146" t="str">
        <f t="shared" si="39"/>
        <v/>
      </c>
      <c r="G385" s="186"/>
      <c r="H385" s="146" t="str">
        <f t="shared" si="40"/>
        <v/>
      </c>
      <c r="I385" s="185"/>
      <c r="J385" s="185"/>
      <c r="K385" s="185"/>
      <c r="M385" s="141" t="str">
        <f t="shared" si="41"/>
        <v/>
      </c>
      <c r="N385" s="141" t="str">
        <f t="shared" si="42"/>
        <v/>
      </c>
    </row>
    <row r="386" spans="1:14">
      <c r="A386" s="145" t="str">
        <f>IF(C386="","",VLOOKUP('Opći dio'!$C$3,'Opći dio'!$L$6:$U$136,10,FALSE))</f>
        <v/>
      </c>
      <c r="B386" s="145" t="str">
        <f>IF(C386="","",VLOOKUP('Opći dio'!$C$3,'Opći dio'!$L$6:$U$136,9,FALSE))</f>
        <v/>
      </c>
      <c r="C386" s="151"/>
      <c r="D386" s="146" t="str">
        <f t="shared" si="38"/>
        <v/>
      </c>
      <c r="E386" s="151"/>
      <c r="F386" s="146" t="str">
        <f t="shared" si="39"/>
        <v/>
      </c>
      <c r="G386" s="186"/>
      <c r="H386" s="146" t="str">
        <f t="shared" si="40"/>
        <v/>
      </c>
      <c r="I386" s="185"/>
      <c r="J386" s="185"/>
      <c r="K386" s="185"/>
      <c r="M386" s="141" t="str">
        <f t="shared" si="41"/>
        <v/>
      </c>
      <c r="N386" s="141" t="str">
        <f t="shared" si="42"/>
        <v/>
      </c>
    </row>
    <row r="387" spans="1:14">
      <c r="A387" s="145" t="str">
        <f>IF(C387="","",VLOOKUP('Opći dio'!$C$3,'Opći dio'!$L$6:$U$136,10,FALSE))</f>
        <v/>
      </c>
      <c r="B387" s="145" t="str">
        <f>IF(C387="","",VLOOKUP('Opći dio'!$C$3,'Opći dio'!$L$6:$U$136,9,FALSE))</f>
        <v/>
      </c>
      <c r="C387" s="151"/>
      <c r="D387" s="146" t="str">
        <f t="shared" si="38"/>
        <v/>
      </c>
      <c r="E387" s="151"/>
      <c r="F387" s="146" t="str">
        <f t="shared" si="39"/>
        <v/>
      </c>
      <c r="G387" s="186"/>
      <c r="H387" s="146" t="str">
        <f t="shared" si="40"/>
        <v/>
      </c>
      <c r="I387" s="185"/>
      <c r="J387" s="185"/>
      <c r="K387" s="185"/>
      <c r="M387" s="141" t="str">
        <f t="shared" si="41"/>
        <v/>
      </c>
      <c r="N387" s="141" t="str">
        <f t="shared" si="42"/>
        <v/>
      </c>
    </row>
    <row r="388" spans="1:14">
      <c r="A388" s="145" t="str">
        <f>IF(C388="","",VLOOKUP('Opći dio'!$C$3,'Opći dio'!$L$6:$U$136,10,FALSE))</f>
        <v/>
      </c>
      <c r="B388" s="145" t="str">
        <f>IF(C388="","",VLOOKUP('Opći dio'!$C$3,'Opći dio'!$L$6:$U$136,9,FALSE))</f>
        <v/>
      </c>
      <c r="C388" s="151"/>
      <c r="D388" s="146" t="str">
        <f t="shared" ref="D388:D451" si="43">IFERROR(VLOOKUP(C388,$O$6:$P$23,2,FALSE),"")</f>
        <v/>
      </c>
      <c r="E388" s="151"/>
      <c r="F388" s="146" t="str">
        <f t="shared" ref="F388:F451" si="44">IFERROR(VLOOKUP(E388,$R$5:$T$129,2,FALSE),"")</f>
        <v/>
      </c>
      <c r="G388" s="186"/>
      <c r="H388" s="146" t="str">
        <f t="shared" ref="H388:H451" si="45">IFERROR(VLOOKUP(G388,$X$6:$Y$200,2,FALSE),"")</f>
        <v/>
      </c>
      <c r="I388" s="185"/>
      <c r="J388" s="185"/>
      <c r="K388" s="185"/>
      <c r="M388" s="141" t="str">
        <f t="shared" ref="M388:M451" si="46">LEFT(E388,3)</f>
        <v/>
      </c>
      <c r="N388" s="141" t="str">
        <f t="shared" ref="N388:N451" si="47">LEFT(E388,2)</f>
        <v/>
      </c>
    </row>
    <row r="389" spans="1:14">
      <c r="A389" s="145" t="str">
        <f>IF(C389="","",VLOOKUP('Opći dio'!$C$3,'Opći dio'!$L$6:$U$136,10,FALSE))</f>
        <v/>
      </c>
      <c r="B389" s="145" t="str">
        <f>IF(C389="","",VLOOKUP('Opći dio'!$C$3,'Opći dio'!$L$6:$U$136,9,FALSE))</f>
        <v/>
      </c>
      <c r="C389" s="151"/>
      <c r="D389" s="146" t="str">
        <f t="shared" si="43"/>
        <v/>
      </c>
      <c r="E389" s="151"/>
      <c r="F389" s="146" t="str">
        <f t="shared" si="44"/>
        <v/>
      </c>
      <c r="G389" s="186"/>
      <c r="H389" s="146" t="str">
        <f t="shared" si="45"/>
        <v/>
      </c>
      <c r="I389" s="185"/>
      <c r="J389" s="185"/>
      <c r="K389" s="185"/>
      <c r="M389" s="141" t="str">
        <f t="shared" si="46"/>
        <v/>
      </c>
      <c r="N389" s="141" t="str">
        <f t="shared" si="47"/>
        <v/>
      </c>
    </row>
    <row r="390" spans="1:14">
      <c r="A390" s="145" t="str">
        <f>IF(C390="","",VLOOKUP('Opći dio'!$C$3,'Opći dio'!$L$6:$U$136,10,FALSE))</f>
        <v/>
      </c>
      <c r="B390" s="145" t="str">
        <f>IF(C390="","",VLOOKUP('Opći dio'!$C$3,'Opći dio'!$L$6:$U$136,9,FALSE))</f>
        <v/>
      </c>
      <c r="C390" s="151"/>
      <c r="D390" s="146" t="str">
        <f t="shared" si="43"/>
        <v/>
      </c>
      <c r="E390" s="151"/>
      <c r="F390" s="146" t="str">
        <f t="shared" si="44"/>
        <v/>
      </c>
      <c r="G390" s="186"/>
      <c r="H390" s="146" t="str">
        <f t="shared" si="45"/>
        <v/>
      </c>
      <c r="I390" s="185"/>
      <c r="J390" s="185"/>
      <c r="K390" s="185"/>
      <c r="M390" s="141" t="str">
        <f t="shared" si="46"/>
        <v/>
      </c>
      <c r="N390" s="141" t="str">
        <f t="shared" si="47"/>
        <v/>
      </c>
    </row>
    <row r="391" spans="1:14">
      <c r="A391" s="145" t="str">
        <f>IF(C391="","",VLOOKUP('Opći dio'!$C$3,'Opći dio'!$L$6:$U$136,10,FALSE))</f>
        <v/>
      </c>
      <c r="B391" s="145" t="str">
        <f>IF(C391="","",VLOOKUP('Opći dio'!$C$3,'Opći dio'!$L$6:$U$136,9,FALSE))</f>
        <v/>
      </c>
      <c r="C391" s="151"/>
      <c r="D391" s="146" t="str">
        <f t="shared" si="43"/>
        <v/>
      </c>
      <c r="E391" s="151"/>
      <c r="F391" s="146" t="str">
        <f t="shared" si="44"/>
        <v/>
      </c>
      <c r="G391" s="186"/>
      <c r="H391" s="146" t="str">
        <f t="shared" si="45"/>
        <v/>
      </c>
      <c r="I391" s="185"/>
      <c r="J391" s="185"/>
      <c r="K391" s="185"/>
      <c r="M391" s="141" t="str">
        <f t="shared" si="46"/>
        <v/>
      </c>
      <c r="N391" s="141" t="str">
        <f t="shared" si="47"/>
        <v/>
      </c>
    </row>
    <row r="392" spans="1:14">
      <c r="A392" s="145" t="str">
        <f>IF(C392="","",VLOOKUP('Opći dio'!$C$3,'Opći dio'!$L$6:$U$136,10,FALSE))</f>
        <v/>
      </c>
      <c r="B392" s="145" t="str">
        <f>IF(C392="","",VLOOKUP('Opći dio'!$C$3,'Opći dio'!$L$6:$U$136,9,FALSE))</f>
        <v/>
      </c>
      <c r="C392" s="151"/>
      <c r="D392" s="146" t="str">
        <f t="shared" si="43"/>
        <v/>
      </c>
      <c r="E392" s="151"/>
      <c r="F392" s="146" t="str">
        <f t="shared" si="44"/>
        <v/>
      </c>
      <c r="G392" s="186"/>
      <c r="H392" s="146" t="str">
        <f t="shared" si="45"/>
        <v/>
      </c>
      <c r="I392" s="185"/>
      <c r="J392" s="185"/>
      <c r="K392" s="185"/>
      <c r="M392" s="141" t="str">
        <f t="shared" si="46"/>
        <v/>
      </c>
      <c r="N392" s="141" t="str">
        <f t="shared" si="47"/>
        <v/>
      </c>
    </row>
    <row r="393" spans="1:14">
      <c r="A393" s="145" t="str">
        <f>IF(C393="","",VLOOKUP('Opći dio'!$C$3,'Opći dio'!$L$6:$U$136,10,FALSE))</f>
        <v/>
      </c>
      <c r="B393" s="145" t="str">
        <f>IF(C393="","",VLOOKUP('Opći dio'!$C$3,'Opći dio'!$L$6:$U$136,9,FALSE))</f>
        <v/>
      </c>
      <c r="C393" s="151"/>
      <c r="D393" s="146" t="str">
        <f t="shared" si="43"/>
        <v/>
      </c>
      <c r="E393" s="151"/>
      <c r="F393" s="146" t="str">
        <f t="shared" si="44"/>
        <v/>
      </c>
      <c r="G393" s="186"/>
      <c r="H393" s="146" t="str">
        <f t="shared" si="45"/>
        <v/>
      </c>
      <c r="I393" s="185"/>
      <c r="J393" s="185"/>
      <c r="K393" s="185"/>
      <c r="M393" s="141" t="str">
        <f t="shared" si="46"/>
        <v/>
      </c>
      <c r="N393" s="141" t="str">
        <f t="shared" si="47"/>
        <v/>
      </c>
    </row>
    <row r="394" spans="1:14">
      <c r="A394" s="145" t="str">
        <f>IF(C394="","",VLOOKUP('Opći dio'!$C$3,'Opći dio'!$L$6:$U$136,10,FALSE))</f>
        <v/>
      </c>
      <c r="B394" s="145" t="str">
        <f>IF(C394="","",VLOOKUP('Opći dio'!$C$3,'Opći dio'!$L$6:$U$136,9,FALSE))</f>
        <v/>
      </c>
      <c r="C394" s="151"/>
      <c r="D394" s="146" t="str">
        <f t="shared" si="43"/>
        <v/>
      </c>
      <c r="E394" s="151"/>
      <c r="F394" s="146" t="str">
        <f t="shared" si="44"/>
        <v/>
      </c>
      <c r="G394" s="186"/>
      <c r="H394" s="146" t="str">
        <f t="shared" si="45"/>
        <v/>
      </c>
      <c r="I394" s="185"/>
      <c r="J394" s="185"/>
      <c r="K394" s="185"/>
      <c r="M394" s="141" t="str">
        <f t="shared" si="46"/>
        <v/>
      </c>
      <c r="N394" s="141" t="str">
        <f t="shared" si="47"/>
        <v/>
      </c>
    </row>
    <row r="395" spans="1:14">
      <c r="A395" s="145" t="str">
        <f>IF(C395="","",VLOOKUP('Opći dio'!$C$3,'Opći dio'!$L$6:$U$136,10,FALSE))</f>
        <v/>
      </c>
      <c r="B395" s="145" t="str">
        <f>IF(C395="","",VLOOKUP('Opći dio'!$C$3,'Opći dio'!$L$6:$U$136,9,FALSE))</f>
        <v/>
      </c>
      <c r="C395" s="151"/>
      <c r="D395" s="146" t="str">
        <f t="shared" si="43"/>
        <v/>
      </c>
      <c r="E395" s="151"/>
      <c r="F395" s="146" t="str">
        <f t="shared" si="44"/>
        <v/>
      </c>
      <c r="G395" s="186"/>
      <c r="H395" s="146" t="str">
        <f t="shared" si="45"/>
        <v/>
      </c>
      <c r="I395" s="185"/>
      <c r="J395" s="185"/>
      <c r="K395" s="185"/>
      <c r="M395" s="141" t="str">
        <f t="shared" si="46"/>
        <v/>
      </c>
      <c r="N395" s="141" t="str">
        <f t="shared" si="47"/>
        <v/>
      </c>
    </row>
    <row r="396" spans="1:14">
      <c r="A396" s="145" t="str">
        <f>IF(C396="","",VLOOKUP('Opći dio'!$C$3,'Opći dio'!$L$6:$U$136,10,FALSE))</f>
        <v/>
      </c>
      <c r="B396" s="145" t="str">
        <f>IF(C396="","",VLOOKUP('Opći dio'!$C$3,'Opći dio'!$L$6:$U$136,9,FALSE))</f>
        <v/>
      </c>
      <c r="C396" s="151"/>
      <c r="D396" s="146" t="str">
        <f t="shared" si="43"/>
        <v/>
      </c>
      <c r="E396" s="151"/>
      <c r="F396" s="146" t="str">
        <f t="shared" si="44"/>
        <v/>
      </c>
      <c r="G396" s="186"/>
      <c r="H396" s="146" t="str">
        <f t="shared" si="45"/>
        <v/>
      </c>
      <c r="I396" s="185"/>
      <c r="J396" s="185"/>
      <c r="K396" s="185"/>
      <c r="M396" s="141" t="str">
        <f t="shared" si="46"/>
        <v/>
      </c>
      <c r="N396" s="141" t="str">
        <f t="shared" si="47"/>
        <v/>
      </c>
    </row>
    <row r="397" spans="1:14">
      <c r="A397" s="145" t="str">
        <f>IF(C397="","",VLOOKUP('Opći dio'!$C$3,'Opći dio'!$L$6:$U$136,10,FALSE))</f>
        <v/>
      </c>
      <c r="B397" s="145" t="str">
        <f>IF(C397="","",VLOOKUP('Opći dio'!$C$3,'Opći dio'!$L$6:$U$136,9,FALSE))</f>
        <v/>
      </c>
      <c r="C397" s="151"/>
      <c r="D397" s="146" t="str">
        <f t="shared" si="43"/>
        <v/>
      </c>
      <c r="E397" s="151"/>
      <c r="F397" s="146" t="str">
        <f t="shared" si="44"/>
        <v/>
      </c>
      <c r="G397" s="186"/>
      <c r="H397" s="146" t="str">
        <f t="shared" si="45"/>
        <v/>
      </c>
      <c r="I397" s="185"/>
      <c r="J397" s="185"/>
      <c r="K397" s="185"/>
      <c r="M397" s="141" t="str">
        <f t="shared" si="46"/>
        <v/>
      </c>
      <c r="N397" s="141" t="str">
        <f t="shared" si="47"/>
        <v/>
      </c>
    </row>
    <row r="398" spans="1:14">
      <c r="A398" s="145" t="str">
        <f>IF(C398="","",VLOOKUP('Opći dio'!$C$3,'Opći dio'!$L$6:$U$136,10,FALSE))</f>
        <v/>
      </c>
      <c r="B398" s="145" t="str">
        <f>IF(C398="","",VLOOKUP('Opći dio'!$C$3,'Opći dio'!$L$6:$U$136,9,FALSE))</f>
        <v/>
      </c>
      <c r="C398" s="151"/>
      <c r="D398" s="146" t="str">
        <f t="shared" si="43"/>
        <v/>
      </c>
      <c r="E398" s="151"/>
      <c r="F398" s="146" t="str">
        <f t="shared" si="44"/>
        <v/>
      </c>
      <c r="G398" s="186"/>
      <c r="H398" s="146" t="str">
        <f t="shared" si="45"/>
        <v/>
      </c>
      <c r="I398" s="185"/>
      <c r="J398" s="185"/>
      <c r="K398" s="185"/>
      <c r="M398" s="141" t="str">
        <f t="shared" si="46"/>
        <v/>
      </c>
      <c r="N398" s="141" t="str">
        <f t="shared" si="47"/>
        <v/>
      </c>
    </row>
    <row r="399" spans="1:14">
      <c r="A399" s="145" t="str">
        <f>IF(C399="","",VLOOKUP('Opći dio'!$C$3,'Opći dio'!$L$6:$U$136,10,FALSE))</f>
        <v/>
      </c>
      <c r="B399" s="145" t="str">
        <f>IF(C399="","",VLOOKUP('Opći dio'!$C$3,'Opći dio'!$L$6:$U$136,9,FALSE))</f>
        <v/>
      </c>
      <c r="C399" s="151"/>
      <c r="D399" s="146" t="str">
        <f t="shared" si="43"/>
        <v/>
      </c>
      <c r="E399" s="151"/>
      <c r="F399" s="146" t="str">
        <f t="shared" si="44"/>
        <v/>
      </c>
      <c r="G399" s="186"/>
      <c r="H399" s="146" t="str">
        <f t="shared" si="45"/>
        <v/>
      </c>
      <c r="I399" s="185"/>
      <c r="J399" s="185"/>
      <c r="K399" s="185"/>
      <c r="M399" s="141" t="str">
        <f t="shared" si="46"/>
        <v/>
      </c>
      <c r="N399" s="141" t="str">
        <f t="shared" si="47"/>
        <v/>
      </c>
    </row>
    <row r="400" spans="1:14">
      <c r="A400" s="145" t="str">
        <f>IF(C400="","",VLOOKUP('Opći dio'!$C$3,'Opći dio'!$L$6:$U$136,10,FALSE))</f>
        <v/>
      </c>
      <c r="B400" s="145" t="str">
        <f>IF(C400="","",VLOOKUP('Opći dio'!$C$3,'Opći dio'!$L$6:$U$136,9,FALSE))</f>
        <v/>
      </c>
      <c r="C400" s="151"/>
      <c r="D400" s="146" t="str">
        <f t="shared" si="43"/>
        <v/>
      </c>
      <c r="E400" s="151"/>
      <c r="F400" s="146" t="str">
        <f t="shared" si="44"/>
        <v/>
      </c>
      <c r="G400" s="186"/>
      <c r="H400" s="146" t="str">
        <f t="shared" si="45"/>
        <v/>
      </c>
      <c r="I400" s="185"/>
      <c r="J400" s="185"/>
      <c r="K400" s="185"/>
      <c r="M400" s="141" t="str">
        <f t="shared" si="46"/>
        <v/>
      </c>
      <c r="N400" s="141" t="str">
        <f t="shared" si="47"/>
        <v/>
      </c>
    </row>
    <row r="401" spans="1:14">
      <c r="A401" s="145" t="str">
        <f>IF(C401="","",VLOOKUP('Opći dio'!$C$3,'Opći dio'!$L$6:$U$136,10,FALSE))</f>
        <v/>
      </c>
      <c r="B401" s="145" t="str">
        <f>IF(C401="","",VLOOKUP('Opći dio'!$C$3,'Opći dio'!$L$6:$U$136,9,FALSE))</f>
        <v/>
      </c>
      <c r="C401" s="151"/>
      <c r="D401" s="146" t="str">
        <f t="shared" si="43"/>
        <v/>
      </c>
      <c r="E401" s="151"/>
      <c r="F401" s="146" t="str">
        <f t="shared" si="44"/>
        <v/>
      </c>
      <c r="G401" s="186"/>
      <c r="H401" s="146" t="str">
        <f t="shared" si="45"/>
        <v/>
      </c>
      <c r="I401" s="185"/>
      <c r="J401" s="185"/>
      <c r="K401" s="185"/>
      <c r="M401" s="141" t="str">
        <f t="shared" si="46"/>
        <v/>
      </c>
      <c r="N401" s="141" t="str">
        <f t="shared" si="47"/>
        <v/>
      </c>
    </row>
    <row r="402" spans="1:14">
      <c r="A402" s="145" t="str">
        <f>IF(C402="","",VLOOKUP('Opći dio'!$C$3,'Opći dio'!$L$6:$U$136,10,FALSE))</f>
        <v/>
      </c>
      <c r="B402" s="145" t="str">
        <f>IF(C402="","",VLOOKUP('Opći dio'!$C$3,'Opći dio'!$L$6:$U$136,9,FALSE))</f>
        <v/>
      </c>
      <c r="C402" s="151"/>
      <c r="D402" s="146" t="str">
        <f t="shared" si="43"/>
        <v/>
      </c>
      <c r="E402" s="151"/>
      <c r="F402" s="146" t="str">
        <f t="shared" si="44"/>
        <v/>
      </c>
      <c r="G402" s="186"/>
      <c r="H402" s="146" t="str">
        <f t="shared" si="45"/>
        <v/>
      </c>
      <c r="I402" s="185"/>
      <c r="J402" s="185"/>
      <c r="K402" s="185"/>
      <c r="M402" s="141" t="str">
        <f t="shared" si="46"/>
        <v/>
      </c>
      <c r="N402" s="141" t="str">
        <f t="shared" si="47"/>
        <v/>
      </c>
    </row>
    <row r="403" spans="1:14">
      <c r="A403" s="145" t="str">
        <f>IF(C403="","",VLOOKUP('Opći dio'!$C$3,'Opći dio'!$L$6:$U$136,10,FALSE))</f>
        <v/>
      </c>
      <c r="B403" s="145" t="str">
        <f>IF(C403="","",VLOOKUP('Opći dio'!$C$3,'Opći dio'!$L$6:$U$136,9,FALSE))</f>
        <v/>
      </c>
      <c r="C403" s="151"/>
      <c r="D403" s="146" t="str">
        <f t="shared" si="43"/>
        <v/>
      </c>
      <c r="E403" s="151"/>
      <c r="F403" s="146" t="str">
        <f t="shared" si="44"/>
        <v/>
      </c>
      <c r="G403" s="186"/>
      <c r="H403" s="146" t="str">
        <f t="shared" si="45"/>
        <v/>
      </c>
      <c r="I403" s="185"/>
      <c r="J403" s="185"/>
      <c r="K403" s="185"/>
      <c r="M403" s="141" t="str">
        <f t="shared" si="46"/>
        <v/>
      </c>
      <c r="N403" s="141" t="str">
        <f t="shared" si="47"/>
        <v/>
      </c>
    </row>
    <row r="404" spans="1:14">
      <c r="A404" s="145" t="str">
        <f>IF(C404="","",VLOOKUP('Opći dio'!$C$3,'Opći dio'!$L$6:$U$136,10,FALSE))</f>
        <v/>
      </c>
      <c r="B404" s="145" t="str">
        <f>IF(C404="","",VLOOKUP('Opći dio'!$C$3,'Opći dio'!$L$6:$U$136,9,FALSE))</f>
        <v/>
      </c>
      <c r="C404" s="151"/>
      <c r="D404" s="146" t="str">
        <f t="shared" si="43"/>
        <v/>
      </c>
      <c r="E404" s="151"/>
      <c r="F404" s="146" t="str">
        <f t="shared" si="44"/>
        <v/>
      </c>
      <c r="G404" s="186"/>
      <c r="H404" s="146" t="str">
        <f t="shared" si="45"/>
        <v/>
      </c>
      <c r="I404" s="185"/>
      <c r="J404" s="185"/>
      <c r="K404" s="185"/>
      <c r="M404" s="141" t="str">
        <f t="shared" si="46"/>
        <v/>
      </c>
      <c r="N404" s="141" t="str">
        <f t="shared" si="47"/>
        <v/>
      </c>
    </row>
    <row r="405" spans="1:14">
      <c r="A405" s="145" t="str">
        <f>IF(C405="","",VLOOKUP('Opći dio'!$C$3,'Opći dio'!$L$6:$U$136,10,FALSE))</f>
        <v/>
      </c>
      <c r="B405" s="145" t="str">
        <f>IF(C405="","",VLOOKUP('Opći dio'!$C$3,'Opći dio'!$L$6:$U$136,9,FALSE))</f>
        <v/>
      </c>
      <c r="C405" s="151"/>
      <c r="D405" s="146" t="str">
        <f t="shared" si="43"/>
        <v/>
      </c>
      <c r="E405" s="151"/>
      <c r="F405" s="146" t="str">
        <f t="shared" si="44"/>
        <v/>
      </c>
      <c r="G405" s="186"/>
      <c r="H405" s="146" t="str">
        <f t="shared" si="45"/>
        <v/>
      </c>
      <c r="I405" s="185"/>
      <c r="J405" s="185"/>
      <c r="K405" s="185"/>
      <c r="M405" s="141" t="str">
        <f t="shared" si="46"/>
        <v/>
      </c>
      <c r="N405" s="141" t="str">
        <f t="shared" si="47"/>
        <v/>
      </c>
    </row>
    <row r="406" spans="1:14">
      <c r="A406" s="145" t="str">
        <f>IF(C406="","",VLOOKUP('Opći dio'!$C$3,'Opći dio'!$L$6:$U$136,10,FALSE))</f>
        <v/>
      </c>
      <c r="B406" s="145" t="str">
        <f>IF(C406="","",VLOOKUP('Opći dio'!$C$3,'Opći dio'!$L$6:$U$136,9,FALSE))</f>
        <v/>
      </c>
      <c r="C406" s="151"/>
      <c r="D406" s="146" t="str">
        <f t="shared" si="43"/>
        <v/>
      </c>
      <c r="E406" s="151"/>
      <c r="F406" s="146" t="str">
        <f t="shared" si="44"/>
        <v/>
      </c>
      <c r="G406" s="186"/>
      <c r="H406" s="146" t="str">
        <f t="shared" si="45"/>
        <v/>
      </c>
      <c r="I406" s="185"/>
      <c r="J406" s="185"/>
      <c r="K406" s="185"/>
      <c r="M406" s="141" t="str">
        <f t="shared" si="46"/>
        <v/>
      </c>
      <c r="N406" s="141" t="str">
        <f t="shared" si="47"/>
        <v/>
      </c>
    </row>
    <row r="407" spans="1:14">
      <c r="A407" s="145" t="str">
        <f>IF(C407="","",VLOOKUP('Opći dio'!$C$3,'Opći dio'!$L$6:$U$136,10,FALSE))</f>
        <v/>
      </c>
      <c r="B407" s="145" t="str">
        <f>IF(C407="","",VLOOKUP('Opći dio'!$C$3,'Opći dio'!$L$6:$U$136,9,FALSE))</f>
        <v/>
      </c>
      <c r="C407" s="151"/>
      <c r="D407" s="146" t="str">
        <f t="shared" si="43"/>
        <v/>
      </c>
      <c r="E407" s="151"/>
      <c r="F407" s="146" t="str">
        <f t="shared" si="44"/>
        <v/>
      </c>
      <c r="G407" s="186"/>
      <c r="H407" s="146" t="str">
        <f t="shared" si="45"/>
        <v/>
      </c>
      <c r="I407" s="185"/>
      <c r="J407" s="185"/>
      <c r="K407" s="185"/>
      <c r="M407" s="141" t="str">
        <f t="shared" si="46"/>
        <v/>
      </c>
      <c r="N407" s="141" t="str">
        <f t="shared" si="47"/>
        <v/>
      </c>
    </row>
    <row r="408" spans="1:14">
      <c r="A408" s="145" t="str">
        <f>IF(C408="","",VLOOKUP('Opći dio'!$C$3,'Opći dio'!$L$6:$U$136,10,FALSE))</f>
        <v/>
      </c>
      <c r="B408" s="145" t="str">
        <f>IF(C408="","",VLOOKUP('Opći dio'!$C$3,'Opći dio'!$L$6:$U$136,9,FALSE))</f>
        <v/>
      </c>
      <c r="C408" s="151"/>
      <c r="D408" s="146" t="str">
        <f t="shared" si="43"/>
        <v/>
      </c>
      <c r="E408" s="151"/>
      <c r="F408" s="146" t="str">
        <f t="shared" si="44"/>
        <v/>
      </c>
      <c r="G408" s="186"/>
      <c r="H408" s="146" t="str">
        <f t="shared" si="45"/>
        <v/>
      </c>
      <c r="I408" s="185"/>
      <c r="J408" s="185"/>
      <c r="K408" s="185"/>
      <c r="M408" s="141" t="str">
        <f t="shared" si="46"/>
        <v/>
      </c>
      <c r="N408" s="141" t="str">
        <f t="shared" si="47"/>
        <v/>
      </c>
    </row>
    <row r="409" spans="1:14">
      <c r="A409" s="145" t="str">
        <f>IF(C409="","",VLOOKUP('Opći dio'!$C$3,'Opći dio'!$L$6:$U$136,10,FALSE))</f>
        <v/>
      </c>
      <c r="B409" s="145" t="str">
        <f>IF(C409="","",VLOOKUP('Opći dio'!$C$3,'Opći dio'!$L$6:$U$136,9,FALSE))</f>
        <v/>
      </c>
      <c r="C409" s="151"/>
      <c r="D409" s="146" t="str">
        <f t="shared" si="43"/>
        <v/>
      </c>
      <c r="E409" s="151"/>
      <c r="F409" s="146" t="str">
        <f t="shared" si="44"/>
        <v/>
      </c>
      <c r="G409" s="186"/>
      <c r="H409" s="146" t="str">
        <f t="shared" si="45"/>
        <v/>
      </c>
      <c r="I409" s="185"/>
      <c r="J409" s="185"/>
      <c r="K409" s="185"/>
      <c r="M409" s="141" t="str">
        <f t="shared" si="46"/>
        <v/>
      </c>
      <c r="N409" s="141" t="str">
        <f t="shared" si="47"/>
        <v/>
      </c>
    </row>
    <row r="410" spans="1:14">
      <c r="A410" s="145" t="str">
        <f>IF(C410="","",VLOOKUP('Opći dio'!$C$3,'Opći dio'!$L$6:$U$136,10,FALSE))</f>
        <v/>
      </c>
      <c r="B410" s="145" t="str">
        <f>IF(C410="","",VLOOKUP('Opći dio'!$C$3,'Opći dio'!$L$6:$U$136,9,FALSE))</f>
        <v/>
      </c>
      <c r="C410" s="151"/>
      <c r="D410" s="146" t="str">
        <f t="shared" si="43"/>
        <v/>
      </c>
      <c r="E410" s="151"/>
      <c r="F410" s="146" t="str">
        <f t="shared" si="44"/>
        <v/>
      </c>
      <c r="G410" s="186"/>
      <c r="H410" s="146" t="str">
        <f t="shared" si="45"/>
        <v/>
      </c>
      <c r="I410" s="185"/>
      <c r="J410" s="185"/>
      <c r="K410" s="185"/>
      <c r="M410" s="141" t="str">
        <f t="shared" si="46"/>
        <v/>
      </c>
      <c r="N410" s="141" t="str">
        <f t="shared" si="47"/>
        <v/>
      </c>
    </row>
    <row r="411" spans="1:14">
      <c r="A411" s="145" t="str">
        <f>IF(C411="","",VLOOKUP('Opći dio'!$C$3,'Opći dio'!$L$6:$U$136,10,FALSE))</f>
        <v/>
      </c>
      <c r="B411" s="145" t="str">
        <f>IF(C411="","",VLOOKUP('Opći dio'!$C$3,'Opći dio'!$L$6:$U$136,9,FALSE))</f>
        <v/>
      </c>
      <c r="C411" s="151"/>
      <c r="D411" s="146" t="str">
        <f t="shared" si="43"/>
        <v/>
      </c>
      <c r="E411" s="151"/>
      <c r="F411" s="146" t="str">
        <f t="shared" si="44"/>
        <v/>
      </c>
      <c r="G411" s="186"/>
      <c r="H411" s="146" t="str">
        <f t="shared" si="45"/>
        <v/>
      </c>
      <c r="I411" s="185"/>
      <c r="J411" s="185"/>
      <c r="K411" s="185"/>
      <c r="M411" s="141" t="str">
        <f t="shared" si="46"/>
        <v/>
      </c>
      <c r="N411" s="141" t="str">
        <f t="shared" si="47"/>
        <v/>
      </c>
    </row>
    <row r="412" spans="1:14">
      <c r="A412" s="145" t="str">
        <f>IF(C412="","",VLOOKUP('Opći dio'!$C$3,'Opći dio'!$L$6:$U$136,10,FALSE))</f>
        <v/>
      </c>
      <c r="B412" s="145" t="str">
        <f>IF(C412="","",VLOOKUP('Opći dio'!$C$3,'Opći dio'!$L$6:$U$136,9,FALSE))</f>
        <v/>
      </c>
      <c r="C412" s="151"/>
      <c r="D412" s="146" t="str">
        <f t="shared" si="43"/>
        <v/>
      </c>
      <c r="E412" s="151"/>
      <c r="F412" s="146" t="str">
        <f t="shared" si="44"/>
        <v/>
      </c>
      <c r="G412" s="186"/>
      <c r="H412" s="146" t="str">
        <f t="shared" si="45"/>
        <v/>
      </c>
      <c r="I412" s="185"/>
      <c r="J412" s="185"/>
      <c r="K412" s="185"/>
      <c r="M412" s="141" t="str">
        <f t="shared" si="46"/>
        <v/>
      </c>
      <c r="N412" s="141" t="str">
        <f t="shared" si="47"/>
        <v/>
      </c>
    </row>
    <row r="413" spans="1:14">
      <c r="A413" s="145" t="str">
        <f>IF(C413="","",VLOOKUP('Opći dio'!$C$3,'Opći dio'!$L$6:$U$136,10,FALSE))</f>
        <v/>
      </c>
      <c r="B413" s="145" t="str">
        <f>IF(C413="","",VLOOKUP('Opći dio'!$C$3,'Opći dio'!$L$6:$U$136,9,FALSE))</f>
        <v/>
      </c>
      <c r="C413" s="151"/>
      <c r="D413" s="146" t="str">
        <f t="shared" si="43"/>
        <v/>
      </c>
      <c r="E413" s="151"/>
      <c r="F413" s="146" t="str">
        <f t="shared" si="44"/>
        <v/>
      </c>
      <c r="G413" s="186"/>
      <c r="H413" s="146" t="str">
        <f t="shared" si="45"/>
        <v/>
      </c>
      <c r="I413" s="185"/>
      <c r="J413" s="185"/>
      <c r="K413" s="185"/>
      <c r="M413" s="141" t="str">
        <f t="shared" si="46"/>
        <v/>
      </c>
      <c r="N413" s="141" t="str">
        <f t="shared" si="47"/>
        <v/>
      </c>
    </row>
    <row r="414" spans="1:14">
      <c r="A414" s="145" t="str">
        <f>IF(C414="","",VLOOKUP('Opći dio'!$C$3,'Opći dio'!$L$6:$U$136,10,FALSE))</f>
        <v/>
      </c>
      <c r="B414" s="145" t="str">
        <f>IF(C414="","",VLOOKUP('Opći dio'!$C$3,'Opći dio'!$L$6:$U$136,9,FALSE))</f>
        <v/>
      </c>
      <c r="C414" s="151"/>
      <c r="D414" s="146" t="str">
        <f t="shared" si="43"/>
        <v/>
      </c>
      <c r="E414" s="151"/>
      <c r="F414" s="146" t="str">
        <f t="shared" si="44"/>
        <v/>
      </c>
      <c r="G414" s="186"/>
      <c r="H414" s="146" t="str">
        <f t="shared" si="45"/>
        <v/>
      </c>
      <c r="I414" s="185"/>
      <c r="J414" s="185"/>
      <c r="K414" s="185"/>
      <c r="M414" s="141" t="str">
        <f t="shared" si="46"/>
        <v/>
      </c>
      <c r="N414" s="141" t="str">
        <f t="shared" si="47"/>
        <v/>
      </c>
    </row>
    <row r="415" spans="1:14">
      <c r="A415" s="145" t="str">
        <f>IF(C415="","",VLOOKUP('Opći dio'!$C$3,'Opći dio'!$L$6:$U$136,10,FALSE))</f>
        <v/>
      </c>
      <c r="B415" s="145" t="str">
        <f>IF(C415="","",VLOOKUP('Opći dio'!$C$3,'Opći dio'!$L$6:$U$136,9,FALSE))</f>
        <v/>
      </c>
      <c r="C415" s="151"/>
      <c r="D415" s="146" t="str">
        <f t="shared" si="43"/>
        <v/>
      </c>
      <c r="E415" s="151"/>
      <c r="F415" s="146" t="str">
        <f t="shared" si="44"/>
        <v/>
      </c>
      <c r="G415" s="186"/>
      <c r="H415" s="146" t="str">
        <f t="shared" si="45"/>
        <v/>
      </c>
      <c r="I415" s="185"/>
      <c r="J415" s="185"/>
      <c r="K415" s="185"/>
      <c r="M415" s="141" t="str">
        <f t="shared" si="46"/>
        <v/>
      </c>
      <c r="N415" s="141" t="str">
        <f t="shared" si="47"/>
        <v/>
      </c>
    </row>
    <row r="416" spans="1:14">
      <c r="A416" s="145" t="str">
        <f>IF(C416="","",VLOOKUP('Opći dio'!$C$3,'Opći dio'!$L$6:$U$136,10,FALSE))</f>
        <v/>
      </c>
      <c r="B416" s="145" t="str">
        <f>IF(C416="","",VLOOKUP('Opći dio'!$C$3,'Opći dio'!$L$6:$U$136,9,FALSE))</f>
        <v/>
      </c>
      <c r="C416" s="151"/>
      <c r="D416" s="146" t="str">
        <f t="shared" si="43"/>
        <v/>
      </c>
      <c r="E416" s="151"/>
      <c r="F416" s="146" t="str">
        <f t="shared" si="44"/>
        <v/>
      </c>
      <c r="G416" s="186"/>
      <c r="H416" s="146" t="str">
        <f t="shared" si="45"/>
        <v/>
      </c>
      <c r="I416" s="185"/>
      <c r="J416" s="185"/>
      <c r="K416" s="185"/>
      <c r="M416" s="141" t="str">
        <f t="shared" si="46"/>
        <v/>
      </c>
      <c r="N416" s="141" t="str">
        <f t="shared" si="47"/>
        <v/>
      </c>
    </row>
    <row r="417" spans="1:14">
      <c r="A417" s="145" t="str">
        <f>IF(C417="","",VLOOKUP('Opći dio'!$C$3,'Opći dio'!$L$6:$U$136,10,FALSE))</f>
        <v/>
      </c>
      <c r="B417" s="145" t="str">
        <f>IF(C417="","",VLOOKUP('Opći dio'!$C$3,'Opći dio'!$L$6:$U$136,9,FALSE))</f>
        <v/>
      </c>
      <c r="C417" s="151"/>
      <c r="D417" s="146" t="str">
        <f t="shared" si="43"/>
        <v/>
      </c>
      <c r="E417" s="151"/>
      <c r="F417" s="146" t="str">
        <f t="shared" si="44"/>
        <v/>
      </c>
      <c r="G417" s="186"/>
      <c r="H417" s="146" t="str">
        <f t="shared" si="45"/>
        <v/>
      </c>
      <c r="I417" s="185"/>
      <c r="J417" s="185"/>
      <c r="K417" s="185"/>
      <c r="M417" s="141" t="str">
        <f t="shared" si="46"/>
        <v/>
      </c>
      <c r="N417" s="141" t="str">
        <f t="shared" si="47"/>
        <v/>
      </c>
    </row>
    <row r="418" spans="1:14">
      <c r="A418" s="145" t="str">
        <f>IF(C418="","",VLOOKUP('Opći dio'!$C$3,'Opći dio'!$L$6:$U$136,10,FALSE))</f>
        <v/>
      </c>
      <c r="B418" s="145" t="str">
        <f>IF(C418="","",VLOOKUP('Opći dio'!$C$3,'Opći dio'!$L$6:$U$136,9,FALSE))</f>
        <v/>
      </c>
      <c r="C418" s="151"/>
      <c r="D418" s="146" t="str">
        <f t="shared" si="43"/>
        <v/>
      </c>
      <c r="E418" s="151"/>
      <c r="F418" s="146" t="str">
        <f t="shared" si="44"/>
        <v/>
      </c>
      <c r="G418" s="186"/>
      <c r="H418" s="146" t="str">
        <f t="shared" si="45"/>
        <v/>
      </c>
      <c r="I418" s="185"/>
      <c r="J418" s="185"/>
      <c r="K418" s="185"/>
      <c r="M418" s="141" t="str">
        <f t="shared" si="46"/>
        <v/>
      </c>
      <c r="N418" s="141" t="str">
        <f t="shared" si="47"/>
        <v/>
      </c>
    </row>
    <row r="419" spans="1:14">
      <c r="A419" s="145" t="str">
        <f>IF(C419="","",VLOOKUP('Opći dio'!$C$3,'Opći dio'!$L$6:$U$136,10,FALSE))</f>
        <v/>
      </c>
      <c r="B419" s="145" t="str">
        <f>IF(C419="","",VLOOKUP('Opći dio'!$C$3,'Opći dio'!$L$6:$U$136,9,FALSE))</f>
        <v/>
      </c>
      <c r="C419" s="151"/>
      <c r="D419" s="146" t="str">
        <f t="shared" si="43"/>
        <v/>
      </c>
      <c r="E419" s="151"/>
      <c r="F419" s="146" t="str">
        <f t="shared" si="44"/>
        <v/>
      </c>
      <c r="G419" s="186"/>
      <c r="H419" s="146" t="str">
        <f t="shared" si="45"/>
        <v/>
      </c>
      <c r="I419" s="185"/>
      <c r="J419" s="185"/>
      <c r="K419" s="185"/>
      <c r="M419" s="141" t="str">
        <f t="shared" si="46"/>
        <v/>
      </c>
      <c r="N419" s="141" t="str">
        <f t="shared" si="47"/>
        <v/>
      </c>
    </row>
    <row r="420" spans="1:14">
      <c r="A420" s="145" t="str">
        <f>IF(C420="","",VLOOKUP('Opći dio'!$C$3,'Opći dio'!$L$6:$U$136,10,FALSE))</f>
        <v/>
      </c>
      <c r="B420" s="145" t="str">
        <f>IF(C420="","",VLOOKUP('Opći dio'!$C$3,'Opći dio'!$L$6:$U$136,9,FALSE))</f>
        <v/>
      </c>
      <c r="C420" s="151"/>
      <c r="D420" s="146" t="str">
        <f t="shared" si="43"/>
        <v/>
      </c>
      <c r="E420" s="151"/>
      <c r="F420" s="146" t="str">
        <f t="shared" si="44"/>
        <v/>
      </c>
      <c r="G420" s="186"/>
      <c r="H420" s="146" t="str">
        <f t="shared" si="45"/>
        <v/>
      </c>
      <c r="I420" s="185"/>
      <c r="J420" s="185"/>
      <c r="K420" s="185"/>
      <c r="M420" s="141" t="str">
        <f t="shared" si="46"/>
        <v/>
      </c>
      <c r="N420" s="141" t="str">
        <f t="shared" si="47"/>
        <v/>
      </c>
    </row>
    <row r="421" spans="1:14">
      <c r="A421" s="145" t="str">
        <f>IF(C421="","",VLOOKUP('Opći dio'!$C$3,'Opći dio'!$L$6:$U$136,10,FALSE))</f>
        <v/>
      </c>
      <c r="B421" s="145" t="str">
        <f>IF(C421="","",VLOOKUP('Opći dio'!$C$3,'Opći dio'!$L$6:$U$136,9,FALSE))</f>
        <v/>
      </c>
      <c r="C421" s="151"/>
      <c r="D421" s="146" t="str">
        <f t="shared" si="43"/>
        <v/>
      </c>
      <c r="E421" s="151"/>
      <c r="F421" s="146" t="str">
        <f t="shared" si="44"/>
        <v/>
      </c>
      <c r="G421" s="186"/>
      <c r="H421" s="146" t="str">
        <f t="shared" si="45"/>
        <v/>
      </c>
      <c r="I421" s="185"/>
      <c r="J421" s="185"/>
      <c r="K421" s="185"/>
      <c r="M421" s="141" t="str">
        <f t="shared" si="46"/>
        <v/>
      </c>
      <c r="N421" s="141" t="str">
        <f t="shared" si="47"/>
        <v/>
      </c>
    </row>
    <row r="422" spans="1:14">
      <c r="A422" s="145" t="str">
        <f>IF(C422="","",VLOOKUP('Opći dio'!$C$3,'Opći dio'!$L$6:$U$136,10,FALSE))</f>
        <v/>
      </c>
      <c r="B422" s="145" t="str">
        <f>IF(C422="","",VLOOKUP('Opći dio'!$C$3,'Opći dio'!$L$6:$U$136,9,FALSE))</f>
        <v/>
      </c>
      <c r="C422" s="151"/>
      <c r="D422" s="146" t="str">
        <f t="shared" si="43"/>
        <v/>
      </c>
      <c r="E422" s="151"/>
      <c r="F422" s="146" t="str">
        <f t="shared" si="44"/>
        <v/>
      </c>
      <c r="G422" s="186"/>
      <c r="H422" s="146" t="str">
        <f t="shared" si="45"/>
        <v/>
      </c>
      <c r="I422" s="185"/>
      <c r="J422" s="185"/>
      <c r="K422" s="185"/>
      <c r="M422" s="141" t="str">
        <f t="shared" si="46"/>
        <v/>
      </c>
      <c r="N422" s="141" t="str">
        <f t="shared" si="47"/>
        <v/>
      </c>
    </row>
    <row r="423" spans="1:14">
      <c r="A423" s="145" t="str">
        <f>IF(C423="","",VLOOKUP('Opći dio'!$C$3,'Opći dio'!$L$6:$U$136,10,FALSE))</f>
        <v/>
      </c>
      <c r="B423" s="145" t="str">
        <f>IF(C423="","",VLOOKUP('Opći dio'!$C$3,'Opći dio'!$L$6:$U$136,9,FALSE))</f>
        <v/>
      </c>
      <c r="C423" s="151"/>
      <c r="D423" s="146" t="str">
        <f t="shared" si="43"/>
        <v/>
      </c>
      <c r="E423" s="151"/>
      <c r="F423" s="146" t="str">
        <f t="shared" si="44"/>
        <v/>
      </c>
      <c r="G423" s="186"/>
      <c r="H423" s="146" t="str">
        <f t="shared" si="45"/>
        <v/>
      </c>
      <c r="I423" s="185"/>
      <c r="J423" s="185"/>
      <c r="K423" s="185"/>
      <c r="M423" s="141" t="str">
        <f t="shared" si="46"/>
        <v/>
      </c>
      <c r="N423" s="141" t="str">
        <f t="shared" si="47"/>
        <v/>
      </c>
    </row>
    <row r="424" spans="1:14">
      <c r="A424" s="145" t="str">
        <f>IF(C424="","",VLOOKUP('Opći dio'!$C$3,'Opći dio'!$L$6:$U$136,10,FALSE))</f>
        <v/>
      </c>
      <c r="B424" s="145" t="str">
        <f>IF(C424="","",VLOOKUP('Opći dio'!$C$3,'Opći dio'!$L$6:$U$136,9,FALSE))</f>
        <v/>
      </c>
      <c r="C424" s="151"/>
      <c r="D424" s="146" t="str">
        <f t="shared" si="43"/>
        <v/>
      </c>
      <c r="E424" s="151"/>
      <c r="F424" s="146" t="str">
        <f t="shared" si="44"/>
        <v/>
      </c>
      <c r="G424" s="186"/>
      <c r="H424" s="146" t="str">
        <f t="shared" si="45"/>
        <v/>
      </c>
      <c r="I424" s="185"/>
      <c r="J424" s="185"/>
      <c r="K424" s="185"/>
      <c r="M424" s="141" t="str">
        <f t="shared" si="46"/>
        <v/>
      </c>
      <c r="N424" s="141" t="str">
        <f t="shared" si="47"/>
        <v/>
      </c>
    </row>
    <row r="425" spans="1:14">
      <c r="A425" s="145" t="str">
        <f>IF(C425="","",VLOOKUP('Opći dio'!$C$3,'Opći dio'!$L$6:$U$136,10,FALSE))</f>
        <v/>
      </c>
      <c r="B425" s="145" t="str">
        <f>IF(C425="","",VLOOKUP('Opći dio'!$C$3,'Opći dio'!$L$6:$U$136,9,FALSE))</f>
        <v/>
      </c>
      <c r="C425" s="151"/>
      <c r="D425" s="146" t="str">
        <f t="shared" si="43"/>
        <v/>
      </c>
      <c r="E425" s="151"/>
      <c r="F425" s="146" t="str">
        <f t="shared" si="44"/>
        <v/>
      </c>
      <c r="G425" s="186"/>
      <c r="H425" s="146" t="str">
        <f t="shared" si="45"/>
        <v/>
      </c>
      <c r="I425" s="185"/>
      <c r="J425" s="185"/>
      <c r="K425" s="185"/>
      <c r="M425" s="141" t="str">
        <f t="shared" si="46"/>
        <v/>
      </c>
      <c r="N425" s="141" t="str">
        <f t="shared" si="47"/>
        <v/>
      </c>
    </row>
    <row r="426" spans="1:14">
      <c r="A426" s="145" t="str">
        <f>IF(C426="","",VLOOKUP('Opći dio'!$C$3,'Opći dio'!$L$6:$U$136,10,FALSE))</f>
        <v/>
      </c>
      <c r="B426" s="145" t="str">
        <f>IF(C426="","",VLOOKUP('Opći dio'!$C$3,'Opći dio'!$L$6:$U$136,9,FALSE))</f>
        <v/>
      </c>
      <c r="C426" s="151"/>
      <c r="D426" s="146" t="str">
        <f t="shared" si="43"/>
        <v/>
      </c>
      <c r="E426" s="151"/>
      <c r="F426" s="146" t="str">
        <f t="shared" si="44"/>
        <v/>
      </c>
      <c r="G426" s="186"/>
      <c r="H426" s="146" t="str">
        <f t="shared" si="45"/>
        <v/>
      </c>
      <c r="I426" s="185"/>
      <c r="J426" s="185"/>
      <c r="K426" s="185"/>
      <c r="M426" s="141" t="str">
        <f t="shared" si="46"/>
        <v/>
      </c>
      <c r="N426" s="141" t="str">
        <f t="shared" si="47"/>
        <v/>
      </c>
    </row>
    <row r="427" spans="1:14">
      <c r="A427" s="145" t="str">
        <f>IF(C427="","",VLOOKUP('Opći dio'!$C$3,'Opći dio'!$L$6:$U$136,10,FALSE))</f>
        <v/>
      </c>
      <c r="B427" s="145" t="str">
        <f>IF(C427="","",VLOOKUP('Opći dio'!$C$3,'Opći dio'!$L$6:$U$136,9,FALSE))</f>
        <v/>
      </c>
      <c r="C427" s="151"/>
      <c r="D427" s="146" t="str">
        <f t="shared" si="43"/>
        <v/>
      </c>
      <c r="E427" s="151"/>
      <c r="F427" s="146" t="str">
        <f t="shared" si="44"/>
        <v/>
      </c>
      <c r="G427" s="186"/>
      <c r="H427" s="146" t="str">
        <f t="shared" si="45"/>
        <v/>
      </c>
      <c r="I427" s="185"/>
      <c r="J427" s="185"/>
      <c r="K427" s="185"/>
      <c r="M427" s="141" t="str">
        <f t="shared" si="46"/>
        <v/>
      </c>
      <c r="N427" s="141" t="str">
        <f t="shared" si="47"/>
        <v/>
      </c>
    </row>
    <row r="428" spans="1:14">
      <c r="A428" s="145" t="str">
        <f>IF(C428="","",VLOOKUP('Opći dio'!$C$3,'Opći dio'!$L$6:$U$136,10,FALSE))</f>
        <v/>
      </c>
      <c r="B428" s="145" t="str">
        <f>IF(C428="","",VLOOKUP('Opći dio'!$C$3,'Opći dio'!$L$6:$U$136,9,FALSE))</f>
        <v/>
      </c>
      <c r="C428" s="151"/>
      <c r="D428" s="146" t="str">
        <f t="shared" si="43"/>
        <v/>
      </c>
      <c r="E428" s="151"/>
      <c r="F428" s="146" t="str">
        <f t="shared" si="44"/>
        <v/>
      </c>
      <c r="G428" s="186"/>
      <c r="H428" s="146" t="str">
        <f t="shared" si="45"/>
        <v/>
      </c>
      <c r="I428" s="185"/>
      <c r="J428" s="185"/>
      <c r="K428" s="185"/>
      <c r="M428" s="141" t="str">
        <f t="shared" si="46"/>
        <v/>
      </c>
      <c r="N428" s="141" t="str">
        <f t="shared" si="47"/>
        <v/>
      </c>
    </row>
    <row r="429" spans="1:14">
      <c r="A429" s="145" t="str">
        <f>IF(C429="","",VLOOKUP('Opći dio'!$C$3,'Opći dio'!$L$6:$U$136,10,FALSE))</f>
        <v/>
      </c>
      <c r="B429" s="145" t="str">
        <f>IF(C429="","",VLOOKUP('Opći dio'!$C$3,'Opći dio'!$L$6:$U$136,9,FALSE))</f>
        <v/>
      </c>
      <c r="C429" s="151"/>
      <c r="D429" s="146" t="str">
        <f t="shared" si="43"/>
        <v/>
      </c>
      <c r="E429" s="151"/>
      <c r="F429" s="146" t="str">
        <f t="shared" si="44"/>
        <v/>
      </c>
      <c r="G429" s="186"/>
      <c r="H429" s="146" t="str">
        <f t="shared" si="45"/>
        <v/>
      </c>
      <c r="I429" s="185"/>
      <c r="J429" s="185"/>
      <c r="K429" s="185"/>
      <c r="M429" s="141" t="str">
        <f t="shared" si="46"/>
        <v/>
      </c>
      <c r="N429" s="141" t="str">
        <f t="shared" si="47"/>
        <v/>
      </c>
    </row>
    <row r="430" spans="1:14">
      <c r="A430" s="145" t="str">
        <f>IF(C430="","",VLOOKUP('Opći dio'!$C$3,'Opći dio'!$L$6:$U$136,10,FALSE))</f>
        <v/>
      </c>
      <c r="B430" s="145" t="str">
        <f>IF(C430="","",VLOOKUP('Opći dio'!$C$3,'Opći dio'!$L$6:$U$136,9,FALSE))</f>
        <v/>
      </c>
      <c r="C430" s="151"/>
      <c r="D430" s="146" t="str">
        <f t="shared" si="43"/>
        <v/>
      </c>
      <c r="E430" s="151"/>
      <c r="F430" s="146" t="str">
        <f t="shared" si="44"/>
        <v/>
      </c>
      <c r="G430" s="186"/>
      <c r="H430" s="146" t="str">
        <f t="shared" si="45"/>
        <v/>
      </c>
      <c r="I430" s="185"/>
      <c r="J430" s="185"/>
      <c r="K430" s="185"/>
      <c r="M430" s="141" t="str">
        <f t="shared" si="46"/>
        <v/>
      </c>
      <c r="N430" s="141" t="str">
        <f t="shared" si="47"/>
        <v/>
      </c>
    </row>
    <row r="431" spans="1:14">
      <c r="A431" s="145" t="str">
        <f>IF(C431="","",VLOOKUP('Opći dio'!$C$3,'Opći dio'!$L$6:$U$136,10,FALSE))</f>
        <v/>
      </c>
      <c r="B431" s="145" t="str">
        <f>IF(C431="","",VLOOKUP('Opći dio'!$C$3,'Opći dio'!$L$6:$U$136,9,FALSE))</f>
        <v/>
      </c>
      <c r="C431" s="151"/>
      <c r="D431" s="146" t="str">
        <f t="shared" si="43"/>
        <v/>
      </c>
      <c r="E431" s="151"/>
      <c r="F431" s="146" t="str">
        <f t="shared" si="44"/>
        <v/>
      </c>
      <c r="G431" s="186"/>
      <c r="H431" s="146" t="str">
        <f t="shared" si="45"/>
        <v/>
      </c>
      <c r="I431" s="185"/>
      <c r="J431" s="185"/>
      <c r="K431" s="185"/>
      <c r="M431" s="141" t="str">
        <f t="shared" si="46"/>
        <v/>
      </c>
      <c r="N431" s="141" t="str">
        <f t="shared" si="47"/>
        <v/>
      </c>
    </row>
    <row r="432" spans="1:14">
      <c r="A432" s="145" t="str">
        <f>IF(C432="","",VLOOKUP('Opći dio'!$C$3,'Opći dio'!$L$6:$U$136,10,FALSE))</f>
        <v/>
      </c>
      <c r="B432" s="145" t="str">
        <f>IF(C432="","",VLOOKUP('Opći dio'!$C$3,'Opći dio'!$L$6:$U$136,9,FALSE))</f>
        <v/>
      </c>
      <c r="C432" s="151"/>
      <c r="D432" s="146" t="str">
        <f t="shared" si="43"/>
        <v/>
      </c>
      <c r="E432" s="151"/>
      <c r="F432" s="146" t="str">
        <f t="shared" si="44"/>
        <v/>
      </c>
      <c r="G432" s="186"/>
      <c r="H432" s="146" t="str">
        <f t="shared" si="45"/>
        <v/>
      </c>
      <c r="I432" s="185"/>
      <c r="J432" s="185"/>
      <c r="K432" s="185"/>
      <c r="M432" s="141" t="str">
        <f t="shared" si="46"/>
        <v/>
      </c>
      <c r="N432" s="141" t="str">
        <f t="shared" si="47"/>
        <v/>
      </c>
    </row>
    <row r="433" spans="1:14">
      <c r="A433" s="145" t="str">
        <f>IF(C433="","",VLOOKUP('Opći dio'!$C$3,'Opći dio'!$L$6:$U$136,10,FALSE))</f>
        <v/>
      </c>
      <c r="B433" s="145" t="str">
        <f>IF(C433="","",VLOOKUP('Opći dio'!$C$3,'Opći dio'!$L$6:$U$136,9,FALSE))</f>
        <v/>
      </c>
      <c r="C433" s="151"/>
      <c r="D433" s="146" t="str">
        <f t="shared" si="43"/>
        <v/>
      </c>
      <c r="E433" s="151"/>
      <c r="F433" s="146" t="str">
        <f t="shared" si="44"/>
        <v/>
      </c>
      <c r="G433" s="186"/>
      <c r="H433" s="146" t="str">
        <f t="shared" si="45"/>
        <v/>
      </c>
      <c r="I433" s="185"/>
      <c r="J433" s="185"/>
      <c r="K433" s="185"/>
      <c r="M433" s="141" t="str">
        <f t="shared" si="46"/>
        <v/>
      </c>
      <c r="N433" s="141" t="str">
        <f t="shared" si="47"/>
        <v/>
      </c>
    </row>
    <row r="434" spans="1:14">
      <c r="A434" s="145" t="str">
        <f>IF(C434="","",VLOOKUP('Opći dio'!$C$3,'Opći dio'!$L$6:$U$136,10,FALSE))</f>
        <v/>
      </c>
      <c r="B434" s="145" t="str">
        <f>IF(C434="","",VLOOKUP('Opći dio'!$C$3,'Opći dio'!$L$6:$U$136,9,FALSE))</f>
        <v/>
      </c>
      <c r="C434" s="151"/>
      <c r="D434" s="146" t="str">
        <f t="shared" si="43"/>
        <v/>
      </c>
      <c r="E434" s="151"/>
      <c r="F434" s="146" t="str">
        <f t="shared" si="44"/>
        <v/>
      </c>
      <c r="G434" s="186"/>
      <c r="H434" s="146" t="str">
        <f t="shared" si="45"/>
        <v/>
      </c>
      <c r="I434" s="185"/>
      <c r="J434" s="185"/>
      <c r="K434" s="185"/>
      <c r="M434" s="141" t="str">
        <f t="shared" si="46"/>
        <v/>
      </c>
      <c r="N434" s="141" t="str">
        <f t="shared" si="47"/>
        <v/>
      </c>
    </row>
    <row r="435" spans="1:14">
      <c r="A435" s="145" t="str">
        <f>IF(C435="","",VLOOKUP('Opći dio'!$C$3,'Opći dio'!$L$6:$U$136,10,FALSE))</f>
        <v/>
      </c>
      <c r="B435" s="145" t="str">
        <f>IF(C435="","",VLOOKUP('Opći dio'!$C$3,'Opći dio'!$L$6:$U$136,9,FALSE))</f>
        <v/>
      </c>
      <c r="C435" s="151"/>
      <c r="D435" s="146" t="str">
        <f t="shared" si="43"/>
        <v/>
      </c>
      <c r="E435" s="151"/>
      <c r="F435" s="146" t="str">
        <f t="shared" si="44"/>
        <v/>
      </c>
      <c r="G435" s="186"/>
      <c r="H435" s="146" t="str">
        <f t="shared" si="45"/>
        <v/>
      </c>
      <c r="I435" s="185"/>
      <c r="J435" s="185"/>
      <c r="K435" s="185"/>
      <c r="M435" s="141" t="str">
        <f t="shared" si="46"/>
        <v/>
      </c>
      <c r="N435" s="141" t="str">
        <f t="shared" si="47"/>
        <v/>
      </c>
    </row>
    <row r="436" spans="1:14">
      <c r="A436" s="145" t="str">
        <f>IF(C436="","",VLOOKUP('Opći dio'!$C$3,'Opći dio'!$L$6:$U$136,10,FALSE))</f>
        <v/>
      </c>
      <c r="B436" s="145" t="str">
        <f>IF(C436="","",VLOOKUP('Opći dio'!$C$3,'Opći dio'!$L$6:$U$136,9,FALSE))</f>
        <v/>
      </c>
      <c r="C436" s="151"/>
      <c r="D436" s="146" t="str">
        <f t="shared" si="43"/>
        <v/>
      </c>
      <c r="E436" s="151"/>
      <c r="F436" s="146" t="str">
        <f t="shared" si="44"/>
        <v/>
      </c>
      <c r="G436" s="186"/>
      <c r="H436" s="146" t="str">
        <f t="shared" si="45"/>
        <v/>
      </c>
      <c r="I436" s="185"/>
      <c r="J436" s="185"/>
      <c r="K436" s="185"/>
      <c r="M436" s="141" t="str">
        <f t="shared" si="46"/>
        <v/>
      </c>
      <c r="N436" s="141" t="str">
        <f t="shared" si="47"/>
        <v/>
      </c>
    </row>
    <row r="437" spans="1:14">
      <c r="A437" s="145" t="str">
        <f>IF(C437="","",VLOOKUP('Opći dio'!$C$3,'Opći dio'!$L$6:$U$136,10,FALSE))</f>
        <v/>
      </c>
      <c r="B437" s="145" t="str">
        <f>IF(C437="","",VLOOKUP('Opći dio'!$C$3,'Opći dio'!$L$6:$U$136,9,FALSE))</f>
        <v/>
      </c>
      <c r="C437" s="151"/>
      <c r="D437" s="146" t="str">
        <f t="shared" si="43"/>
        <v/>
      </c>
      <c r="E437" s="151"/>
      <c r="F437" s="146" t="str">
        <f t="shared" si="44"/>
        <v/>
      </c>
      <c r="G437" s="186"/>
      <c r="H437" s="146" t="str">
        <f t="shared" si="45"/>
        <v/>
      </c>
      <c r="I437" s="185"/>
      <c r="J437" s="185"/>
      <c r="K437" s="185"/>
      <c r="M437" s="141" t="str">
        <f t="shared" si="46"/>
        <v/>
      </c>
      <c r="N437" s="141" t="str">
        <f t="shared" si="47"/>
        <v/>
      </c>
    </row>
    <row r="438" spans="1:14">
      <c r="A438" s="145" t="str">
        <f>IF(C438="","",VLOOKUP('Opći dio'!$C$3,'Opći dio'!$L$6:$U$136,10,FALSE))</f>
        <v/>
      </c>
      <c r="B438" s="145" t="str">
        <f>IF(C438="","",VLOOKUP('Opći dio'!$C$3,'Opći dio'!$L$6:$U$136,9,FALSE))</f>
        <v/>
      </c>
      <c r="C438" s="151"/>
      <c r="D438" s="146" t="str">
        <f t="shared" si="43"/>
        <v/>
      </c>
      <c r="E438" s="151"/>
      <c r="F438" s="146" t="str">
        <f t="shared" si="44"/>
        <v/>
      </c>
      <c r="G438" s="186"/>
      <c r="H438" s="146" t="str">
        <f t="shared" si="45"/>
        <v/>
      </c>
      <c r="I438" s="185"/>
      <c r="J438" s="185"/>
      <c r="K438" s="185"/>
      <c r="M438" s="141" t="str">
        <f t="shared" si="46"/>
        <v/>
      </c>
      <c r="N438" s="141" t="str">
        <f t="shared" si="47"/>
        <v/>
      </c>
    </row>
    <row r="439" spans="1:14">
      <c r="A439" s="145" t="str">
        <f>IF(C439="","",VLOOKUP('Opći dio'!$C$3,'Opći dio'!$L$6:$U$136,10,FALSE))</f>
        <v/>
      </c>
      <c r="B439" s="145" t="str">
        <f>IF(C439="","",VLOOKUP('Opći dio'!$C$3,'Opći dio'!$L$6:$U$136,9,FALSE))</f>
        <v/>
      </c>
      <c r="C439" s="151"/>
      <c r="D439" s="146" t="str">
        <f t="shared" si="43"/>
        <v/>
      </c>
      <c r="E439" s="151"/>
      <c r="F439" s="146" t="str">
        <f t="shared" si="44"/>
        <v/>
      </c>
      <c r="G439" s="186"/>
      <c r="H439" s="146" t="str">
        <f t="shared" si="45"/>
        <v/>
      </c>
      <c r="I439" s="185"/>
      <c r="J439" s="185"/>
      <c r="K439" s="185"/>
      <c r="M439" s="141" t="str">
        <f t="shared" si="46"/>
        <v/>
      </c>
      <c r="N439" s="141" t="str">
        <f t="shared" si="47"/>
        <v/>
      </c>
    </row>
    <row r="440" spans="1:14">
      <c r="A440" s="145" t="str">
        <f>IF(C440="","",VLOOKUP('Opći dio'!$C$3,'Opći dio'!$L$6:$U$136,10,FALSE))</f>
        <v/>
      </c>
      <c r="B440" s="145" t="str">
        <f>IF(C440="","",VLOOKUP('Opći dio'!$C$3,'Opći dio'!$L$6:$U$136,9,FALSE))</f>
        <v/>
      </c>
      <c r="C440" s="151"/>
      <c r="D440" s="146" t="str">
        <f t="shared" si="43"/>
        <v/>
      </c>
      <c r="E440" s="151"/>
      <c r="F440" s="146" t="str">
        <f t="shared" si="44"/>
        <v/>
      </c>
      <c r="G440" s="186"/>
      <c r="H440" s="146" t="str">
        <f t="shared" si="45"/>
        <v/>
      </c>
      <c r="I440" s="185"/>
      <c r="J440" s="185"/>
      <c r="K440" s="185"/>
      <c r="M440" s="141" t="str">
        <f t="shared" si="46"/>
        <v/>
      </c>
      <c r="N440" s="141" t="str">
        <f t="shared" si="47"/>
        <v/>
      </c>
    </row>
    <row r="441" spans="1:14">
      <c r="A441" s="145" t="str">
        <f>IF(C441="","",VLOOKUP('Opći dio'!$C$3,'Opći dio'!$L$6:$U$136,10,FALSE))</f>
        <v/>
      </c>
      <c r="B441" s="145" t="str">
        <f>IF(C441="","",VLOOKUP('Opći dio'!$C$3,'Opći dio'!$L$6:$U$136,9,FALSE))</f>
        <v/>
      </c>
      <c r="C441" s="151"/>
      <c r="D441" s="146" t="str">
        <f t="shared" si="43"/>
        <v/>
      </c>
      <c r="E441" s="151"/>
      <c r="F441" s="146" t="str">
        <f t="shared" si="44"/>
        <v/>
      </c>
      <c r="G441" s="186"/>
      <c r="H441" s="146" t="str">
        <f t="shared" si="45"/>
        <v/>
      </c>
      <c r="I441" s="185"/>
      <c r="J441" s="185"/>
      <c r="K441" s="185"/>
      <c r="M441" s="141" t="str">
        <f t="shared" si="46"/>
        <v/>
      </c>
      <c r="N441" s="141" t="str">
        <f t="shared" si="47"/>
        <v/>
      </c>
    </row>
    <row r="442" spans="1:14">
      <c r="A442" s="145" t="str">
        <f>IF(C442="","",VLOOKUP('Opći dio'!$C$3,'Opći dio'!$L$6:$U$136,10,FALSE))</f>
        <v/>
      </c>
      <c r="B442" s="145" t="str">
        <f>IF(C442="","",VLOOKUP('Opći dio'!$C$3,'Opći dio'!$L$6:$U$136,9,FALSE))</f>
        <v/>
      </c>
      <c r="C442" s="151"/>
      <c r="D442" s="146" t="str">
        <f t="shared" si="43"/>
        <v/>
      </c>
      <c r="E442" s="151"/>
      <c r="F442" s="146" t="str">
        <f t="shared" si="44"/>
        <v/>
      </c>
      <c r="G442" s="186"/>
      <c r="H442" s="146" t="str">
        <f t="shared" si="45"/>
        <v/>
      </c>
      <c r="I442" s="185"/>
      <c r="J442" s="185"/>
      <c r="K442" s="185"/>
      <c r="M442" s="141" t="str">
        <f t="shared" si="46"/>
        <v/>
      </c>
      <c r="N442" s="141" t="str">
        <f t="shared" si="47"/>
        <v/>
      </c>
    </row>
    <row r="443" spans="1:14">
      <c r="A443" s="145" t="str">
        <f>IF(C443="","",VLOOKUP('Opći dio'!$C$3,'Opći dio'!$L$6:$U$136,10,FALSE))</f>
        <v/>
      </c>
      <c r="B443" s="145" t="str">
        <f>IF(C443="","",VLOOKUP('Opći dio'!$C$3,'Opći dio'!$L$6:$U$136,9,FALSE))</f>
        <v/>
      </c>
      <c r="C443" s="151"/>
      <c r="D443" s="146" t="str">
        <f t="shared" si="43"/>
        <v/>
      </c>
      <c r="E443" s="151"/>
      <c r="F443" s="146" t="str">
        <f t="shared" si="44"/>
        <v/>
      </c>
      <c r="G443" s="186"/>
      <c r="H443" s="146" t="str">
        <f t="shared" si="45"/>
        <v/>
      </c>
      <c r="I443" s="185"/>
      <c r="J443" s="185"/>
      <c r="K443" s="185"/>
      <c r="M443" s="141" t="str">
        <f t="shared" si="46"/>
        <v/>
      </c>
      <c r="N443" s="141" t="str">
        <f t="shared" si="47"/>
        <v/>
      </c>
    </row>
    <row r="444" spans="1:14">
      <c r="A444" s="145" t="str">
        <f>IF(C444="","",VLOOKUP('Opći dio'!$C$3,'Opći dio'!$L$6:$U$136,10,FALSE))</f>
        <v/>
      </c>
      <c r="B444" s="145" t="str">
        <f>IF(C444="","",VLOOKUP('Opći dio'!$C$3,'Opći dio'!$L$6:$U$136,9,FALSE))</f>
        <v/>
      </c>
      <c r="C444" s="151"/>
      <c r="D444" s="146" t="str">
        <f t="shared" si="43"/>
        <v/>
      </c>
      <c r="E444" s="151"/>
      <c r="F444" s="146" t="str">
        <f t="shared" si="44"/>
        <v/>
      </c>
      <c r="G444" s="186"/>
      <c r="H444" s="146" t="str">
        <f t="shared" si="45"/>
        <v/>
      </c>
      <c r="I444" s="185"/>
      <c r="J444" s="185"/>
      <c r="K444" s="185"/>
      <c r="M444" s="141" t="str">
        <f t="shared" si="46"/>
        <v/>
      </c>
      <c r="N444" s="141" t="str">
        <f t="shared" si="47"/>
        <v/>
      </c>
    </row>
    <row r="445" spans="1:14">
      <c r="A445" s="145" t="str">
        <f>IF(C445="","",VLOOKUP('Opći dio'!$C$3,'Opći dio'!$L$6:$U$136,10,FALSE))</f>
        <v/>
      </c>
      <c r="B445" s="145" t="str">
        <f>IF(C445="","",VLOOKUP('Opći dio'!$C$3,'Opći dio'!$L$6:$U$136,9,FALSE))</f>
        <v/>
      </c>
      <c r="C445" s="151"/>
      <c r="D445" s="146" t="str">
        <f t="shared" si="43"/>
        <v/>
      </c>
      <c r="E445" s="151"/>
      <c r="F445" s="146" t="str">
        <f t="shared" si="44"/>
        <v/>
      </c>
      <c r="G445" s="186"/>
      <c r="H445" s="146" t="str">
        <f t="shared" si="45"/>
        <v/>
      </c>
      <c r="I445" s="185"/>
      <c r="J445" s="185"/>
      <c r="K445" s="185"/>
      <c r="M445" s="141" t="str">
        <f t="shared" si="46"/>
        <v/>
      </c>
      <c r="N445" s="141" t="str">
        <f t="shared" si="47"/>
        <v/>
      </c>
    </row>
    <row r="446" spans="1:14">
      <c r="A446" s="145" t="str">
        <f>IF(C446="","",VLOOKUP('Opći dio'!$C$3,'Opći dio'!$L$6:$U$136,10,FALSE))</f>
        <v/>
      </c>
      <c r="B446" s="145" t="str">
        <f>IF(C446="","",VLOOKUP('Opći dio'!$C$3,'Opći dio'!$L$6:$U$136,9,FALSE))</f>
        <v/>
      </c>
      <c r="C446" s="151"/>
      <c r="D446" s="146" t="str">
        <f t="shared" si="43"/>
        <v/>
      </c>
      <c r="E446" s="151"/>
      <c r="F446" s="146" t="str">
        <f t="shared" si="44"/>
        <v/>
      </c>
      <c r="G446" s="186"/>
      <c r="H446" s="146" t="str">
        <f t="shared" si="45"/>
        <v/>
      </c>
      <c r="I446" s="185"/>
      <c r="J446" s="185"/>
      <c r="K446" s="185"/>
      <c r="M446" s="141" t="str">
        <f t="shared" si="46"/>
        <v/>
      </c>
      <c r="N446" s="141" t="str">
        <f t="shared" si="47"/>
        <v/>
      </c>
    </row>
    <row r="447" spans="1:14">
      <c r="A447" s="145" t="str">
        <f>IF(C447="","",VLOOKUP('Opći dio'!$C$3,'Opći dio'!$L$6:$U$136,10,FALSE))</f>
        <v/>
      </c>
      <c r="B447" s="145" t="str">
        <f>IF(C447="","",VLOOKUP('Opći dio'!$C$3,'Opći dio'!$L$6:$U$136,9,FALSE))</f>
        <v/>
      </c>
      <c r="C447" s="151"/>
      <c r="D447" s="146" t="str">
        <f t="shared" si="43"/>
        <v/>
      </c>
      <c r="E447" s="151"/>
      <c r="F447" s="146" t="str">
        <f t="shared" si="44"/>
        <v/>
      </c>
      <c r="G447" s="186"/>
      <c r="H447" s="146" t="str">
        <f t="shared" si="45"/>
        <v/>
      </c>
      <c r="I447" s="185"/>
      <c r="J447" s="185"/>
      <c r="K447" s="185"/>
      <c r="M447" s="141" t="str">
        <f t="shared" si="46"/>
        <v/>
      </c>
      <c r="N447" s="141" t="str">
        <f t="shared" si="47"/>
        <v/>
      </c>
    </row>
    <row r="448" spans="1:14">
      <c r="A448" s="145" t="str">
        <f>IF(C448="","",VLOOKUP('Opći dio'!$C$3,'Opći dio'!$L$6:$U$136,10,FALSE))</f>
        <v/>
      </c>
      <c r="B448" s="145" t="str">
        <f>IF(C448="","",VLOOKUP('Opći dio'!$C$3,'Opći dio'!$L$6:$U$136,9,FALSE))</f>
        <v/>
      </c>
      <c r="C448" s="151"/>
      <c r="D448" s="146" t="str">
        <f t="shared" si="43"/>
        <v/>
      </c>
      <c r="E448" s="151"/>
      <c r="F448" s="146" t="str">
        <f t="shared" si="44"/>
        <v/>
      </c>
      <c r="G448" s="186"/>
      <c r="H448" s="146" t="str">
        <f t="shared" si="45"/>
        <v/>
      </c>
      <c r="I448" s="185"/>
      <c r="J448" s="185"/>
      <c r="K448" s="185"/>
      <c r="M448" s="141" t="str">
        <f t="shared" si="46"/>
        <v/>
      </c>
      <c r="N448" s="141" t="str">
        <f t="shared" si="47"/>
        <v/>
      </c>
    </row>
    <row r="449" spans="1:14">
      <c r="A449" s="145" t="str">
        <f>IF(C449="","",VLOOKUP('Opći dio'!$C$3,'Opći dio'!$L$6:$U$136,10,FALSE))</f>
        <v/>
      </c>
      <c r="B449" s="145" t="str">
        <f>IF(C449="","",VLOOKUP('Opći dio'!$C$3,'Opći dio'!$L$6:$U$136,9,FALSE))</f>
        <v/>
      </c>
      <c r="C449" s="151"/>
      <c r="D449" s="146" t="str">
        <f t="shared" si="43"/>
        <v/>
      </c>
      <c r="E449" s="151"/>
      <c r="F449" s="146" t="str">
        <f t="shared" si="44"/>
        <v/>
      </c>
      <c r="G449" s="186"/>
      <c r="H449" s="146" t="str">
        <f t="shared" si="45"/>
        <v/>
      </c>
      <c r="I449" s="185"/>
      <c r="J449" s="185"/>
      <c r="K449" s="185"/>
      <c r="M449" s="141" t="str">
        <f t="shared" si="46"/>
        <v/>
      </c>
      <c r="N449" s="141" t="str">
        <f t="shared" si="47"/>
        <v/>
      </c>
    </row>
    <row r="450" spans="1:14">
      <c r="A450" s="145" t="str">
        <f>IF(C450="","",VLOOKUP('Opći dio'!$C$3,'Opći dio'!$L$6:$U$136,10,FALSE))</f>
        <v/>
      </c>
      <c r="B450" s="145" t="str">
        <f>IF(C450="","",VLOOKUP('Opći dio'!$C$3,'Opći dio'!$L$6:$U$136,9,FALSE))</f>
        <v/>
      </c>
      <c r="C450" s="151"/>
      <c r="D450" s="146" t="str">
        <f t="shared" si="43"/>
        <v/>
      </c>
      <c r="E450" s="151"/>
      <c r="F450" s="146" t="str">
        <f t="shared" si="44"/>
        <v/>
      </c>
      <c r="G450" s="186"/>
      <c r="H450" s="146" t="str">
        <f t="shared" si="45"/>
        <v/>
      </c>
      <c r="I450" s="185"/>
      <c r="J450" s="185"/>
      <c r="K450" s="185"/>
      <c r="M450" s="141" t="str">
        <f t="shared" si="46"/>
        <v/>
      </c>
      <c r="N450" s="141" t="str">
        <f t="shared" si="47"/>
        <v/>
      </c>
    </row>
    <row r="451" spans="1:14">
      <c r="A451" s="145" t="str">
        <f>IF(C451="","",VLOOKUP('Opći dio'!$C$3,'Opći dio'!$L$6:$U$136,10,FALSE))</f>
        <v/>
      </c>
      <c r="B451" s="145" t="str">
        <f>IF(C451="","",VLOOKUP('Opći dio'!$C$3,'Opći dio'!$L$6:$U$136,9,FALSE))</f>
        <v/>
      </c>
      <c r="C451" s="151"/>
      <c r="D451" s="146" t="str">
        <f t="shared" si="43"/>
        <v/>
      </c>
      <c r="E451" s="151"/>
      <c r="F451" s="146" t="str">
        <f t="shared" si="44"/>
        <v/>
      </c>
      <c r="G451" s="186"/>
      <c r="H451" s="146" t="str">
        <f t="shared" si="45"/>
        <v/>
      </c>
      <c r="I451" s="185"/>
      <c r="J451" s="185"/>
      <c r="K451" s="185"/>
      <c r="M451" s="141" t="str">
        <f t="shared" si="46"/>
        <v/>
      </c>
      <c r="N451" s="141" t="str">
        <f t="shared" si="47"/>
        <v/>
      </c>
    </row>
    <row r="452" spans="1:14">
      <c r="A452" s="145" t="str">
        <f>IF(C452="","",VLOOKUP('Opći dio'!$C$3,'Opći dio'!$L$6:$U$136,10,FALSE))</f>
        <v/>
      </c>
      <c r="B452" s="145" t="str">
        <f>IF(C452="","",VLOOKUP('Opći dio'!$C$3,'Opći dio'!$L$6:$U$136,9,FALSE))</f>
        <v/>
      </c>
      <c r="C452" s="151"/>
      <c r="D452" s="146" t="str">
        <f t="shared" ref="D452:D501" si="48">IFERROR(VLOOKUP(C452,$O$6:$P$23,2,FALSE),"")</f>
        <v/>
      </c>
      <c r="E452" s="151"/>
      <c r="F452" s="146" t="str">
        <f t="shared" ref="F452:F501" si="49">IFERROR(VLOOKUP(E452,$R$5:$T$129,2,FALSE),"")</f>
        <v/>
      </c>
      <c r="G452" s="186"/>
      <c r="H452" s="146" t="str">
        <f t="shared" ref="H452:H501" si="50">IFERROR(VLOOKUP(G452,$X$6:$Y$200,2,FALSE),"")</f>
        <v/>
      </c>
      <c r="I452" s="185"/>
      <c r="J452" s="185"/>
      <c r="K452" s="185"/>
      <c r="M452" s="141" t="str">
        <f t="shared" ref="M452:M501" si="51">LEFT(E452,3)</f>
        <v/>
      </c>
      <c r="N452" s="141" t="str">
        <f t="shared" ref="N452:N501" si="52">LEFT(E452,2)</f>
        <v/>
      </c>
    </row>
    <row r="453" spans="1:14">
      <c r="A453" s="145" t="str">
        <f>IF(C453="","",VLOOKUP('Opći dio'!$C$3,'Opći dio'!$L$6:$U$136,10,FALSE))</f>
        <v/>
      </c>
      <c r="B453" s="145" t="str">
        <f>IF(C453="","",VLOOKUP('Opći dio'!$C$3,'Opći dio'!$L$6:$U$136,9,FALSE))</f>
        <v/>
      </c>
      <c r="C453" s="151"/>
      <c r="D453" s="146" t="str">
        <f t="shared" si="48"/>
        <v/>
      </c>
      <c r="E453" s="151"/>
      <c r="F453" s="146" t="str">
        <f t="shared" si="49"/>
        <v/>
      </c>
      <c r="G453" s="186"/>
      <c r="H453" s="146" t="str">
        <f t="shared" si="50"/>
        <v/>
      </c>
      <c r="I453" s="185"/>
      <c r="J453" s="185"/>
      <c r="K453" s="185"/>
      <c r="M453" s="141" t="str">
        <f t="shared" si="51"/>
        <v/>
      </c>
      <c r="N453" s="141" t="str">
        <f t="shared" si="52"/>
        <v/>
      </c>
    </row>
    <row r="454" spans="1:14">
      <c r="A454" s="145" t="str">
        <f>IF(C454="","",VLOOKUP('Opći dio'!$C$3,'Opći dio'!$L$6:$U$136,10,FALSE))</f>
        <v/>
      </c>
      <c r="B454" s="145" t="str">
        <f>IF(C454="","",VLOOKUP('Opći dio'!$C$3,'Opći dio'!$L$6:$U$136,9,FALSE))</f>
        <v/>
      </c>
      <c r="C454" s="151"/>
      <c r="D454" s="146" t="str">
        <f t="shared" si="48"/>
        <v/>
      </c>
      <c r="E454" s="151"/>
      <c r="F454" s="146" t="str">
        <f t="shared" si="49"/>
        <v/>
      </c>
      <c r="G454" s="186"/>
      <c r="H454" s="146" t="str">
        <f t="shared" si="50"/>
        <v/>
      </c>
      <c r="I454" s="185"/>
      <c r="J454" s="185"/>
      <c r="K454" s="185"/>
      <c r="M454" s="141" t="str">
        <f t="shared" si="51"/>
        <v/>
      </c>
      <c r="N454" s="141" t="str">
        <f t="shared" si="52"/>
        <v/>
      </c>
    </row>
    <row r="455" spans="1:14">
      <c r="A455" s="145" t="str">
        <f>IF(C455="","",VLOOKUP('Opći dio'!$C$3,'Opći dio'!$L$6:$U$136,10,FALSE))</f>
        <v/>
      </c>
      <c r="B455" s="145" t="str">
        <f>IF(C455="","",VLOOKUP('Opći dio'!$C$3,'Opći dio'!$L$6:$U$136,9,FALSE))</f>
        <v/>
      </c>
      <c r="C455" s="151"/>
      <c r="D455" s="146" t="str">
        <f t="shared" si="48"/>
        <v/>
      </c>
      <c r="E455" s="151"/>
      <c r="F455" s="146" t="str">
        <f t="shared" si="49"/>
        <v/>
      </c>
      <c r="G455" s="186"/>
      <c r="H455" s="146" t="str">
        <f t="shared" si="50"/>
        <v/>
      </c>
      <c r="I455" s="185"/>
      <c r="J455" s="185"/>
      <c r="K455" s="185"/>
      <c r="M455" s="141" t="str">
        <f t="shared" si="51"/>
        <v/>
      </c>
      <c r="N455" s="141" t="str">
        <f t="shared" si="52"/>
        <v/>
      </c>
    </row>
    <row r="456" spans="1:14">
      <c r="A456" s="145" t="str">
        <f>IF(C456="","",VLOOKUP('Opći dio'!$C$3,'Opći dio'!$L$6:$U$136,10,FALSE))</f>
        <v/>
      </c>
      <c r="B456" s="145" t="str">
        <f>IF(C456="","",VLOOKUP('Opći dio'!$C$3,'Opći dio'!$L$6:$U$136,9,FALSE))</f>
        <v/>
      </c>
      <c r="C456" s="151"/>
      <c r="D456" s="146" t="str">
        <f t="shared" si="48"/>
        <v/>
      </c>
      <c r="E456" s="151"/>
      <c r="F456" s="146" t="str">
        <f t="shared" si="49"/>
        <v/>
      </c>
      <c r="G456" s="186"/>
      <c r="H456" s="146" t="str">
        <f t="shared" si="50"/>
        <v/>
      </c>
      <c r="I456" s="185"/>
      <c r="J456" s="185"/>
      <c r="K456" s="185"/>
      <c r="M456" s="141" t="str">
        <f t="shared" si="51"/>
        <v/>
      </c>
      <c r="N456" s="141" t="str">
        <f t="shared" si="52"/>
        <v/>
      </c>
    </row>
    <row r="457" spans="1:14">
      <c r="A457" s="145" t="str">
        <f>IF(C457="","",VLOOKUP('Opći dio'!$C$3,'Opći dio'!$L$6:$U$136,10,FALSE))</f>
        <v/>
      </c>
      <c r="B457" s="145" t="str">
        <f>IF(C457="","",VLOOKUP('Opći dio'!$C$3,'Opći dio'!$L$6:$U$136,9,FALSE))</f>
        <v/>
      </c>
      <c r="C457" s="151"/>
      <c r="D457" s="146" t="str">
        <f t="shared" si="48"/>
        <v/>
      </c>
      <c r="E457" s="151"/>
      <c r="F457" s="146" t="str">
        <f t="shared" si="49"/>
        <v/>
      </c>
      <c r="G457" s="186"/>
      <c r="H457" s="146" t="str">
        <f t="shared" si="50"/>
        <v/>
      </c>
      <c r="I457" s="185"/>
      <c r="J457" s="185"/>
      <c r="K457" s="185"/>
      <c r="M457" s="141" t="str">
        <f t="shared" si="51"/>
        <v/>
      </c>
      <c r="N457" s="141" t="str">
        <f t="shared" si="52"/>
        <v/>
      </c>
    </row>
    <row r="458" spans="1:14">
      <c r="A458" s="145" t="str">
        <f>IF(C458="","",VLOOKUP('Opći dio'!$C$3,'Opći dio'!$L$6:$U$136,10,FALSE))</f>
        <v/>
      </c>
      <c r="B458" s="145" t="str">
        <f>IF(C458="","",VLOOKUP('Opći dio'!$C$3,'Opći dio'!$L$6:$U$136,9,FALSE))</f>
        <v/>
      </c>
      <c r="C458" s="151"/>
      <c r="D458" s="146" t="str">
        <f t="shared" si="48"/>
        <v/>
      </c>
      <c r="E458" s="151"/>
      <c r="F458" s="146" t="str">
        <f t="shared" si="49"/>
        <v/>
      </c>
      <c r="G458" s="186"/>
      <c r="H458" s="146" t="str">
        <f t="shared" si="50"/>
        <v/>
      </c>
      <c r="I458" s="185"/>
      <c r="J458" s="185"/>
      <c r="K458" s="185"/>
      <c r="M458" s="141" t="str">
        <f t="shared" si="51"/>
        <v/>
      </c>
      <c r="N458" s="141" t="str">
        <f t="shared" si="52"/>
        <v/>
      </c>
    </row>
    <row r="459" spans="1:14">
      <c r="A459" s="145" t="str">
        <f>IF(C459="","",VLOOKUP('Opći dio'!$C$3,'Opći dio'!$L$6:$U$136,10,FALSE))</f>
        <v/>
      </c>
      <c r="B459" s="145" t="str">
        <f>IF(C459="","",VLOOKUP('Opći dio'!$C$3,'Opći dio'!$L$6:$U$136,9,FALSE))</f>
        <v/>
      </c>
      <c r="C459" s="151"/>
      <c r="D459" s="146" t="str">
        <f t="shared" si="48"/>
        <v/>
      </c>
      <c r="E459" s="151"/>
      <c r="F459" s="146" t="str">
        <f t="shared" si="49"/>
        <v/>
      </c>
      <c r="G459" s="186"/>
      <c r="H459" s="146" t="str">
        <f t="shared" si="50"/>
        <v/>
      </c>
      <c r="I459" s="185"/>
      <c r="J459" s="185"/>
      <c r="K459" s="185"/>
      <c r="M459" s="141" t="str">
        <f t="shared" si="51"/>
        <v/>
      </c>
      <c r="N459" s="141" t="str">
        <f t="shared" si="52"/>
        <v/>
      </c>
    </row>
    <row r="460" spans="1:14">
      <c r="A460" s="145" t="str">
        <f>IF(C460="","",VLOOKUP('Opći dio'!$C$3,'Opći dio'!$L$6:$U$136,10,FALSE))</f>
        <v/>
      </c>
      <c r="B460" s="145" t="str">
        <f>IF(C460="","",VLOOKUP('Opći dio'!$C$3,'Opći dio'!$L$6:$U$136,9,FALSE))</f>
        <v/>
      </c>
      <c r="C460" s="151"/>
      <c r="D460" s="146" t="str">
        <f t="shared" si="48"/>
        <v/>
      </c>
      <c r="E460" s="151"/>
      <c r="F460" s="146" t="str">
        <f t="shared" si="49"/>
        <v/>
      </c>
      <c r="G460" s="186"/>
      <c r="H460" s="146" t="str">
        <f t="shared" si="50"/>
        <v/>
      </c>
      <c r="I460" s="185"/>
      <c r="J460" s="185"/>
      <c r="K460" s="185"/>
      <c r="M460" s="141" t="str">
        <f t="shared" si="51"/>
        <v/>
      </c>
      <c r="N460" s="141" t="str">
        <f t="shared" si="52"/>
        <v/>
      </c>
    </row>
    <row r="461" spans="1:14">
      <c r="A461" s="145" t="str">
        <f>IF(C461="","",VLOOKUP('Opći dio'!$C$3,'Opći dio'!$L$6:$U$136,10,FALSE))</f>
        <v/>
      </c>
      <c r="B461" s="145" t="str">
        <f>IF(C461="","",VLOOKUP('Opći dio'!$C$3,'Opći dio'!$L$6:$U$136,9,FALSE))</f>
        <v/>
      </c>
      <c r="C461" s="151"/>
      <c r="D461" s="146" t="str">
        <f t="shared" si="48"/>
        <v/>
      </c>
      <c r="E461" s="151"/>
      <c r="F461" s="146" t="str">
        <f t="shared" si="49"/>
        <v/>
      </c>
      <c r="G461" s="186"/>
      <c r="H461" s="146" t="str">
        <f t="shared" si="50"/>
        <v/>
      </c>
      <c r="I461" s="185"/>
      <c r="J461" s="185"/>
      <c r="K461" s="185"/>
      <c r="M461" s="141" t="str">
        <f t="shared" si="51"/>
        <v/>
      </c>
      <c r="N461" s="141" t="str">
        <f t="shared" si="52"/>
        <v/>
      </c>
    </row>
    <row r="462" spans="1:14">
      <c r="A462" s="145" t="str">
        <f>IF(C462="","",VLOOKUP('Opći dio'!$C$3,'Opći dio'!$L$6:$U$136,10,FALSE))</f>
        <v/>
      </c>
      <c r="B462" s="145" t="str">
        <f>IF(C462="","",VLOOKUP('Opći dio'!$C$3,'Opći dio'!$L$6:$U$136,9,FALSE))</f>
        <v/>
      </c>
      <c r="C462" s="151"/>
      <c r="D462" s="146" t="str">
        <f t="shared" si="48"/>
        <v/>
      </c>
      <c r="E462" s="151"/>
      <c r="F462" s="146" t="str">
        <f t="shared" si="49"/>
        <v/>
      </c>
      <c r="G462" s="186"/>
      <c r="H462" s="146" t="str">
        <f t="shared" si="50"/>
        <v/>
      </c>
      <c r="I462" s="185"/>
      <c r="J462" s="185"/>
      <c r="K462" s="185"/>
      <c r="M462" s="141" t="str">
        <f t="shared" si="51"/>
        <v/>
      </c>
      <c r="N462" s="141" t="str">
        <f t="shared" si="52"/>
        <v/>
      </c>
    </row>
    <row r="463" spans="1:14">
      <c r="A463" s="145" t="str">
        <f>IF(C463="","",VLOOKUP('Opći dio'!$C$3,'Opći dio'!$L$6:$U$136,10,FALSE))</f>
        <v/>
      </c>
      <c r="B463" s="145" t="str">
        <f>IF(C463="","",VLOOKUP('Opći dio'!$C$3,'Opći dio'!$L$6:$U$136,9,FALSE))</f>
        <v/>
      </c>
      <c r="C463" s="151"/>
      <c r="D463" s="146" t="str">
        <f t="shared" si="48"/>
        <v/>
      </c>
      <c r="E463" s="151"/>
      <c r="F463" s="146" t="str">
        <f t="shared" si="49"/>
        <v/>
      </c>
      <c r="G463" s="186"/>
      <c r="H463" s="146" t="str">
        <f t="shared" si="50"/>
        <v/>
      </c>
      <c r="I463" s="185"/>
      <c r="J463" s="185"/>
      <c r="K463" s="185"/>
      <c r="M463" s="141" t="str">
        <f t="shared" si="51"/>
        <v/>
      </c>
      <c r="N463" s="141" t="str">
        <f t="shared" si="52"/>
        <v/>
      </c>
    </row>
    <row r="464" spans="1:14">
      <c r="A464" s="145" t="str">
        <f>IF(C464="","",VLOOKUP('Opći dio'!$C$3,'Opći dio'!$L$6:$U$136,10,FALSE))</f>
        <v/>
      </c>
      <c r="B464" s="145" t="str">
        <f>IF(C464="","",VLOOKUP('Opći dio'!$C$3,'Opći dio'!$L$6:$U$136,9,FALSE))</f>
        <v/>
      </c>
      <c r="C464" s="151"/>
      <c r="D464" s="146" t="str">
        <f t="shared" si="48"/>
        <v/>
      </c>
      <c r="E464" s="151"/>
      <c r="F464" s="146" t="str">
        <f t="shared" si="49"/>
        <v/>
      </c>
      <c r="G464" s="186"/>
      <c r="H464" s="146" t="str">
        <f t="shared" si="50"/>
        <v/>
      </c>
      <c r="I464" s="185"/>
      <c r="J464" s="185"/>
      <c r="K464" s="185"/>
      <c r="M464" s="141" t="str">
        <f t="shared" si="51"/>
        <v/>
      </c>
      <c r="N464" s="141" t="str">
        <f t="shared" si="52"/>
        <v/>
      </c>
    </row>
    <row r="465" spans="1:14">
      <c r="A465" s="145" t="str">
        <f>IF(C465="","",VLOOKUP('Opći dio'!$C$3,'Opći dio'!$L$6:$U$136,10,FALSE))</f>
        <v/>
      </c>
      <c r="B465" s="145" t="str">
        <f>IF(C465="","",VLOOKUP('Opći dio'!$C$3,'Opći dio'!$L$6:$U$136,9,FALSE))</f>
        <v/>
      </c>
      <c r="C465" s="151"/>
      <c r="D465" s="146" t="str">
        <f t="shared" si="48"/>
        <v/>
      </c>
      <c r="E465" s="151"/>
      <c r="F465" s="146" t="str">
        <f t="shared" si="49"/>
        <v/>
      </c>
      <c r="G465" s="186"/>
      <c r="H465" s="146" t="str">
        <f t="shared" si="50"/>
        <v/>
      </c>
      <c r="I465" s="185"/>
      <c r="J465" s="185"/>
      <c r="K465" s="185"/>
      <c r="M465" s="141" t="str">
        <f t="shared" si="51"/>
        <v/>
      </c>
      <c r="N465" s="141" t="str">
        <f t="shared" si="52"/>
        <v/>
      </c>
    </row>
    <row r="466" spans="1:14">
      <c r="A466" s="145" t="str">
        <f>IF(C466="","",VLOOKUP('Opći dio'!$C$3,'Opći dio'!$L$6:$U$136,10,FALSE))</f>
        <v/>
      </c>
      <c r="B466" s="145" t="str">
        <f>IF(C466="","",VLOOKUP('Opći dio'!$C$3,'Opći dio'!$L$6:$U$136,9,FALSE))</f>
        <v/>
      </c>
      <c r="C466" s="151"/>
      <c r="D466" s="146" t="str">
        <f t="shared" si="48"/>
        <v/>
      </c>
      <c r="E466" s="151"/>
      <c r="F466" s="146" t="str">
        <f t="shared" si="49"/>
        <v/>
      </c>
      <c r="G466" s="186"/>
      <c r="H466" s="146" t="str">
        <f t="shared" si="50"/>
        <v/>
      </c>
      <c r="I466" s="185"/>
      <c r="J466" s="185"/>
      <c r="K466" s="185"/>
      <c r="M466" s="141" t="str">
        <f t="shared" si="51"/>
        <v/>
      </c>
      <c r="N466" s="141" t="str">
        <f t="shared" si="52"/>
        <v/>
      </c>
    </row>
    <row r="467" spans="1:14">
      <c r="A467" s="145" t="str">
        <f>IF(C467="","",VLOOKUP('Opći dio'!$C$3,'Opći dio'!$L$6:$U$136,10,FALSE))</f>
        <v/>
      </c>
      <c r="B467" s="145" t="str">
        <f>IF(C467="","",VLOOKUP('Opći dio'!$C$3,'Opći dio'!$L$6:$U$136,9,FALSE))</f>
        <v/>
      </c>
      <c r="C467" s="151"/>
      <c r="D467" s="146" t="str">
        <f t="shared" si="48"/>
        <v/>
      </c>
      <c r="E467" s="151"/>
      <c r="F467" s="146" t="str">
        <f t="shared" si="49"/>
        <v/>
      </c>
      <c r="G467" s="186"/>
      <c r="H467" s="146" t="str">
        <f t="shared" si="50"/>
        <v/>
      </c>
      <c r="I467" s="185"/>
      <c r="J467" s="185"/>
      <c r="K467" s="185"/>
      <c r="M467" s="141" t="str">
        <f t="shared" si="51"/>
        <v/>
      </c>
      <c r="N467" s="141" t="str">
        <f t="shared" si="52"/>
        <v/>
      </c>
    </row>
    <row r="468" spans="1:14">
      <c r="A468" s="145" t="str">
        <f>IF(C468="","",VLOOKUP('Opći dio'!$C$3,'Opći dio'!$L$6:$U$136,10,FALSE))</f>
        <v/>
      </c>
      <c r="B468" s="145" t="str">
        <f>IF(C468="","",VLOOKUP('Opći dio'!$C$3,'Opći dio'!$L$6:$U$136,9,FALSE))</f>
        <v/>
      </c>
      <c r="C468" s="151"/>
      <c r="D468" s="146" t="str">
        <f t="shared" si="48"/>
        <v/>
      </c>
      <c r="E468" s="151"/>
      <c r="F468" s="146" t="str">
        <f t="shared" si="49"/>
        <v/>
      </c>
      <c r="G468" s="186"/>
      <c r="H468" s="146" t="str">
        <f t="shared" si="50"/>
        <v/>
      </c>
      <c r="I468" s="185"/>
      <c r="J468" s="185"/>
      <c r="K468" s="185"/>
      <c r="M468" s="141" t="str">
        <f t="shared" si="51"/>
        <v/>
      </c>
      <c r="N468" s="141" t="str">
        <f t="shared" si="52"/>
        <v/>
      </c>
    </row>
    <row r="469" spans="1:14">
      <c r="A469" s="145" t="str">
        <f>IF(C469="","",VLOOKUP('Opći dio'!$C$3,'Opći dio'!$L$6:$U$136,10,FALSE))</f>
        <v/>
      </c>
      <c r="B469" s="145" t="str">
        <f>IF(C469="","",VLOOKUP('Opći dio'!$C$3,'Opći dio'!$L$6:$U$136,9,FALSE))</f>
        <v/>
      </c>
      <c r="C469" s="151"/>
      <c r="D469" s="146" t="str">
        <f t="shared" si="48"/>
        <v/>
      </c>
      <c r="E469" s="151"/>
      <c r="F469" s="146" t="str">
        <f t="shared" si="49"/>
        <v/>
      </c>
      <c r="G469" s="186"/>
      <c r="H469" s="146" t="str">
        <f t="shared" si="50"/>
        <v/>
      </c>
      <c r="I469" s="185"/>
      <c r="J469" s="185"/>
      <c r="K469" s="185"/>
      <c r="M469" s="141" t="str">
        <f t="shared" si="51"/>
        <v/>
      </c>
      <c r="N469" s="141" t="str">
        <f t="shared" si="52"/>
        <v/>
      </c>
    </row>
    <row r="470" spans="1:14">
      <c r="A470" s="145" t="str">
        <f>IF(C470="","",VLOOKUP('Opći dio'!$C$3,'Opći dio'!$L$6:$U$136,10,FALSE))</f>
        <v/>
      </c>
      <c r="B470" s="145" t="str">
        <f>IF(C470="","",VLOOKUP('Opći dio'!$C$3,'Opći dio'!$L$6:$U$136,9,FALSE))</f>
        <v/>
      </c>
      <c r="C470" s="151"/>
      <c r="D470" s="146" t="str">
        <f t="shared" si="48"/>
        <v/>
      </c>
      <c r="E470" s="151"/>
      <c r="F470" s="146" t="str">
        <f t="shared" si="49"/>
        <v/>
      </c>
      <c r="G470" s="186"/>
      <c r="H470" s="146" t="str">
        <f t="shared" si="50"/>
        <v/>
      </c>
      <c r="I470" s="185"/>
      <c r="J470" s="185"/>
      <c r="K470" s="185"/>
      <c r="M470" s="141" t="str">
        <f t="shared" si="51"/>
        <v/>
      </c>
      <c r="N470" s="141" t="str">
        <f t="shared" si="52"/>
        <v/>
      </c>
    </row>
    <row r="471" spans="1:14">
      <c r="A471" s="145" t="str">
        <f>IF(C471="","",VLOOKUP('Opći dio'!$C$3,'Opći dio'!$L$6:$U$136,10,FALSE))</f>
        <v/>
      </c>
      <c r="B471" s="145" t="str">
        <f>IF(C471="","",VLOOKUP('Opći dio'!$C$3,'Opći dio'!$L$6:$U$136,9,FALSE))</f>
        <v/>
      </c>
      <c r="C471" s="151"/>
      <c r="D471" s="146" t="str">
        <f t="shared" si="48"/>
        <v/>
      </c>
      <c r="E471" s="151"/>
      <c r="F471" s="146" t="str">
        <f t="shared" si="49"/>
        <v/>
      </c>
      <c r="G471" s="186"/>
      <c r="H471" s="146" t="str">
        <f t="shared" si="50"/>
        <v/>
      </c>
      <c r="I471" s="185"/>
      <c r="J471" s="185"/>
      <c r="K471" s="185"/>
      <c r="M471" s="141" t="str">
        <f t="shared" si="51"/>
        <v/>
      </c>
      <c r="N471" s="141" t="str">
        <f t="shared" si="52"/>
        <v/>
      </c>
    </row>
    <row r="472" spans="1:14">
      <c r="A472" s="145" t="str">
        <f>IF(C472="","",VLOOKUP('Opći dio'!$C$3,'Opći dio'!$L$6:$U$136,10,FALSE))</f>
        <v/>
      </c>
      <c r="B472" s="145" t="str">
        <f>IF(C472="","",VLOOKUP('Opći dio'!$C$3,'Opći dio'!$L$6:$U$136,9,FALSE))</f>
        <v/>
      </c>
      <c r="C472" s="151"/>
      <c r="D472" s="146" t="str">
        <f t="shared" si="48"/>
        <v/>
      </c>
      <c r="E472" s="151"/>
      <c r="F472" s="146" t="str">
        <f t="shared" si="49"/>
        <v/>
      </c>
      <c r="G472" s="186"/>
      <c r="H472" s="146" t="str">
        <f t="shared" si="50"/>
        <v/>
      </c>
      <c r="I472" s="185"/>
      <c r="J472" s="185"/>
      <c r="K472" s="185"/>
      <c r="M472" s="141" t="str">
        <f t="shared" si="51"/>
        <v/>
      </c>
      <c r="N472" s="141" t="str">
        <f t="shared" si="52"/>
        <v/>
      </c>
    </row>
    <row r="473" spans="1:14">
      <c r="A473" s="145" t="str">
        <f>IF(C473="","",VLOOKUP('Opći dio'!$C$3,'Opći dio'!$L$6:$U$136,10,FALSE))</f>
        <v/>
      </c>
      <c r="B473" s="145" t="str">
        <f>IF(C473="","",VLOOKUP('Opći dio'!$C$3,'Opći dio'!$L$6:$U$136,9,FALSE))</f>
        <v/>
      </c>
      <c r="C473" s="151"/>
      <c r="D473" s="146" t="str">
        <f t="shared" si="48"/>
        <v/>
      </c>
      <c r="E473" s="151"/>
      <c r="F473" s="146" t="str">
        <f t="shared" si="49"/>
        <v/>
      </c>
      <c r="G473" s="186"/>
      <c r="H473" s="146" t="str">
        <f t="shared" si="50"/>
        <v/>
      </c>
      <c r="I473" s="185"/>
      <c r="J473" s="185"/>
      <c r="K473" s="185"/>
      <c r="M473" s="141" t="str">
        <f t="shared" si="51"/>
        <v/>
      </c>
      <c r="N473" s="141" t="str">
        <f t="shared" si="52"/>
        <v/>
      </c>
    </row>
    <row r="474" spans="1:14">
      <c r="A474" s="145" t="str">
        <f>IF(C474="","",VLOOKUP('Opći dio'!$C$3,'Opći dio'!$L$6:$U$136,10,FALSE))</f>
        <v/>
      </c>
      <c r="B474" s="145" t="str">
        <f>IF(C474="","",VLOOKUP('Opći dio'!$C$3,'Opći dio'!$L$6:$U$136,9,FALSE))</f>
        <v/>
      </c>
      <c r="C474" s="151"/>
      <c r="D474" s="146" t="str">
        <f t="shared" si="48"/>
        <v/>
      </c>
      <c r="E474" s="151"/>
      <c r="F474" s="146" t="str">
        <f t="shared" si="49"/>
        <v/>
      </c>
      <c r="G474" s="186"/>
      <c r="H474" s="146" t="str">
        <f t="shared" si="50"/>
        <v/>
      </c>
      <c r="I474" s="185"/>
      <c r="J474" s="185"/>
      <c r="K474" s="185"/>
      <c r="M474" s="141" t="str">
        <f t="shared" si="51"/>
        <v/>
      </c>
      <c r="N474" s="141" t="str">
        <f t="shared" si="52"/>
        <v/>
      </c>
    </row>
    <row r="475" spans="1:14">
      <c r="A475" s="145" t="str">
        <f>IF(C475="","",VLOOKUP('Opći dio'!$C$3,'Opći dio'!$L$6:$U$136,10,FALSE))</f>
        <v/>
      </c>
      <c r="B475" s="145" t="str">
        <f>IF(C475="","",VLOOKUP('Opći dio'!$C$3,'Opći dio'!$L$6:$U$136,9,FALSE))</f>
        <v/>
      </c>
      <c r="C475" s="151"/>
      <c r="D475" s="146" t="str">
        <f t="shared" si="48"/>
        <v/>
      </c>
      <c r="E475" s="151"/>
      <c r="F475" s="146" t="str">
        <f t="shared" si="49"/>
        <v/>
      </c>
      <c r="G475" s="186"/>
      <c r="H475" s="146" t="str">
        <f t="shared" si="50"/>
        <v/>
      </c>
      <c r="I475" s="185"/>
      <c r="J475" s="185"/>
      <c r="K475" s="185"/>
      <c r="M475" s="141" t="str">
        <f t="shared" si="51"/>
        <v/>
      </c>
      <c r="N475" s="141" t="str">
        <f t="shared" si="52"/>
        <v/>
      </c>
    </row>
    <row r="476" spans="1:14">
      <c r="A476" s="145" t="str">
        <f>IF(C476="","",VLOOKUP('Opći dio'!$C$3,'Opći dio'!$L$6:$U$136,10,FALSE))</f>
        <v/>
      </c>
      <c r="B476" s="145" t="str">
        <f>IF(C476="","",VLOOKUP('Opći dio'!$C$3,'Opći dio'!$L$6:$U$136,9,FALSE))</f>
        <v/>
      </c>
      <c r="C476" s="151"/>
      <c r="D476" s="146" t="str">
        <f t="shared" si="48"/>
        <v/>
      </c>
      <c r="E476" s="151"/>
      <c r="F476" s="146" t="str">
        <f t="shared" si="49"/>
        <v/>
      </c>
      <c r="G476" s="186"/>
      <c r="H476" s="146" t="str">
        <f t="shared" si="50"/>
        <v/>
      </c>
      <c r="I476" s="185"/>
      <c r="J476" s="185"/>
      <c r="K476" s="185"/>
      <c r="M476" s="141" t="str">
        <f t="shared" si="51"/>
        <v/>
      </c>
      <c r="N476" s="141" t="str">
        <f t="shared" si="52"/>
        <v/>
      </c>
    </row>
    <row r="477" spans="1:14">
      <c r="A477" s="145" t="str">
        <f>IF(C477="","",VLOOKUP('Opći dio'!$C$3,'Opći dio'!$L$6:$U$136,10,FALSE))</f>
        <v/>
      </c>
      <c r="B477" s="145" t="str">
        <f>IF(C477="","",VLOOKUP('Opći dio'!$C$3,'Opći dio'!$L$6:$U$136,9,FALSE))</f>
        <v/>
      </c>
      <c r="C477" s="151"/>
      <c r="D477" s="146" t="str">
        <f t="shared" si="48"/>
        <v/>
      </c>
      <c r="E477" s="151"/>
      <c r="F477" s="146" t="str">
        <f t="shared" si="49"/>
        <v/>
      </c>
      <c r="G477" s="186"/>
      <c r="H477" s="146" t="str">
        <f t="shared" si="50"/>
        <v/>
      </c>
      <c r="I477" s="185"/>
      <c r="J477" s="185"/>
      <c r="K477" s="185"/>
      <c r="M477" s="141" t="str">
        <f t="shared" si="51"/>
        <v/>
      </c>
      <c r="N477" s="141" t="str">
        <f t="shared" si="52"/>
        <v/>
      </c>
    </row>
    <row r="478" spans="1:14">
      <c r="A478" s="145" t="str">
        <f>IF(C478="","",VLOOKUP('Opći dio'!$C$3,'Opći dio'!$L$6:$U$136,10,FALSE))</f>
        <v/>
      </c>
      <c r="B478" s="145" t="str">
        <f>IF(C478="","",VLOOKUP('Opći dio'!$C$3,'Opći dio'!$L$6:$U$136,9,FALSE))</f>
        <v/>
      </c>
      <c r="C478" s="151"/>
      <c r="D478" s="146" t="str">
        <f t="shared" si="48"/>
        <v/>
      </c>
      <c r="E478" s="151"/>
      <c r="F478" s="146" t="str">
        <f t="shared" si="49"/>
        <v/>
      </c>
      <c r="G478" s="186"/>
      <c r="H478" s="146" t="str">
        <f t="shared" si="50"/>
        <v/>
      </c>
      <c r="I478" s="185"/>
      <c r="J478" s="185"/>
      <c r="K478" s="185"/>
      <c r="M478" s="141" t="str">
        <f t="shared" si="51"/>
        <v/>
      </c>
      <c r="N478" s="141" t="str">
        <f t="shared" si="52"/>
        <v/>
      </c>
    </row>
    <row r="479" spans="1:14">
      <c r="A479" s="145" t="str">
        <f>IF(C479="","",VLOOKUP('Opći dio'!$C$3,'Opći dio'!$L$6:$U$136,10,FALSE))</f>
        <v/>
      </c>
      <c r="B479" s="145" t="str">
        <f>IF(C479="","",VLOOKUP('Opći dio'!$C$3,'Opći dio'!$L$6:$U$136,9,FALSE))</f>
        <v/>
      </c>
      <c r="C479" s="151"/>
      <c r="D479" s="146" t="str">
        <f t="shared" si="48"/>
        <v/>
      </c>
      <c r="E479" s="151"/>
      <c r="F479" s="146" t="str">
        <f t="shared" si="49"/>
        <v/>
      </c>
      <c r="G479" s="186"/>
      <c r="H479" s="146" t="str">
        <f t="shared" si="50"/>
        <v/>
      </c>
      <c r="I479" s="185"/>
      <c r="J479" s="185"/>
      <c r="K479" s="185"/>
      <c r="M479" s="141" t="str">
        <f t="shared" si="51"/>
        <v/>
      </c>
      <c r="N479" s="141" t="str">
        <f t="shared" si="52"/>
        <v/>
      </c>
    </row>
    <row r="480" spans="1:14">
      <c r="A480" s="145" t="str">
        <f>IF(C480="","",VLOOKUP('Opći dio'!$C$3,'Opći dio'!$L$6:$U$136,10,FALSE))</f>
        <v/>
      </c>
      <c r="B480" s="145" t="str">
        <f>IF(C480="","",VLOOKUP('Opći dio'!$C$3,'Opći dio'!$L$6:$U$136,9,FALSE))</f>
        <v/>
      </c>
      <c r="C480" s="151"/>
      <c r="D480" s="146" t="str">
        <f t="shared" si="48"/>
        <v/>
      </c>
      <c r="E480" s="151"/>
      <c r="F480" s="146" t="str">
        <f t="shared" si="49"/>
        <v/>
      </c>
      <c r="G480" s="186"/>
      <c r="H480" s="146" t="str">
        <f t="shared" si="50"/>
        <v/>
      </c>
      <c r="I480" s="185"/>
      <c r="J480" s="185"/>
      <c r="K480" s="185"/>
      <c r="M480" s="141" t="str">
        <f t="shared" si="51"/>
        <v/>
      </c>
      <c r="N480" s="141" t="str">
        <f t="shared" si="52"/>
        <v/>
      </c>
    </row>
    <row r="481" spans="1:14">
      <c r="A481" s="145" t="str">
        <f>IF(C481="","",VLOOKUP('Opći dio'!$C$3,'Opći dio'!$L$6:$U$136,10,FALSE))</f>
        <v/>
      </c>
      <c r="B481" s="145" t="str">
        <f>IF(C481="","",VLOOKUP('Opći dio'!$C$3,'Opći dio'!$L$6:$U$136,9,FALSE))</f>
        <v/>
      </c>
      <c r="C481" s="151"/>
      <c r="D481" s="146" t="str">
        <f t="shared" si="48"/>
        <v/>
      </c>
      <c r="E481" s="151"/>
      <c r="F481" s="146" t="str">
        <f t="shared" si="49"/>
        <v/>
      </c>
      <c r="G481" s="186"/>
      <c r="H481" s="146" t="str">
        <f t="shared" si="50"/>
        <v/>
      </c>
      <c r="I481" s="185"/>
      <c r="J481" s="185"/>
      <c r="K481" s="185"/>
      <c r="M481" s="141" t="str">
        <f t="shared" si="51"/>
        <v/>
      </c>
      <c r="N481" s="141" t="str">
        <f t="shared" si="52"/>
        <v/>
      </c>
    </row>
    <row r="482" spans="1:14">
      <c r="A482" s="145" t="str">
        <f>IF(C482="","",VLOOKUP('Opći dio'!$C$3,'Opći dio'!$L$6:$U$136,10,FALSE))</f>
        <v/>
      </c>
      <c r="B482" s="145" t="str">
        <f>IF(C482="","",VLOOKUP('Opći dio'!$C$3,'Opći dio'!$L$6:$U$136,9,FALSE))</f>
        <v/>
      </c>
      <c r="C482" s="151"/>
      <c r="D482" s="146" t="str">
        <f t="shared" si="48"/>
        <v/>
      </c>
      <c r="E482" s="151"/>
      <c r="F482" s="146" t="str">
        <f t="shared" si="49"/>
        <v/>
      </c>
      <c r="G482" s="186"/>
      <c r="H482" s="146" t="str">
        <f t="shared" si="50"/>
        <v/>
      </c>
      <c r="I482" s="185"/>
      <c r="J482" s="185"/>
      <c r="K482" s="185"/>
      <c r="M482" s="141" t="str">
        <f t="shared" si="51"/>
        <v/>
      </c>
      <c r="N482" s="141" t="str">
        <f t="shared" si="52"/>
        <v/>
      </c>
    </row>
    <row r="483" spans="1:14">
      <c r="A483" s="145" t="str">
        <f>IF(C483="","",VLOOKUP('Opći dio'!$C$3,'Opći dio'!$L$6:$U$136,10,FALSE))</f>
        <v/>
      </c>
      <c r="B483" s="145" t="str">
        <f>IF(C483="","",VLOOKUP('Opći dio'!$C$3,'Opći dio'!$L$6:$U$136,9,FALSE))</f>
        <v/>
      </c>
      <c r="C483" s="151"/>
      <c r="D483" s="146" t="str">
        <f t="shared" si="48"/>
        <v/>
      </c>
      <c r="E483" s="151"/>
      <c r="F483" s="146" t="str">
        <f t="shared" si="49"/>
        <v/>
      </c>
      <c r="G483" s="186"/>
      <c r="H483" s="146" t="str">
        <f t="shared" si="50"/>
        <v/>
      </c>
      <c r="I483" s="185"/>
      <c r="J483" s="185"/>
      <c r="K483" s="185"/>
      <c r="M483" s="141" t="str">
        <f t="shared" si="51"/>
        <v/>
      </c>
      <c r="N483" s="141" t="str">
        <f t="shared" si="52"/>
        <v/>
      </c>
    </row>
    <row r="484" spans="1:14">
      <c r="A484" s="145" t="str">
        <f>IF(C484="","",VLOOKUP('Opći dio'!$C$3,'Opći dio'!$L$6:$U$136,10,FALSE))</f>
        <v/>
      </c>
      <c r="B484" s="145" t="str">
        <f>IF(C484="","",VLOOKUP('Opći dio'!$C$3,'Opći dio'!$L$6:$U$136,9,FALSE))</f>
        <v/>
      </c>
      <c r="C484" s="151"/>
      <c r="D484" s="146" t="str">
        <f t="shared" si="48"/>
        <v/>
      </c>
      <c r="E484" s="151"/>
      <c r="F484" s="146" t="str">
        <f t="shared" si="49"/>
        <v/>
      </c>
      <c r="G484" s="186"/>
      <c r="H484" s="146" t="str">
        <f t="shared" si="50"/>
        <v/>
      </c>
      <c r="I484" s="185"/>
      <c r="J484" s="185"/>
      <c r="K484" s="185"/>
      <c r="M484" s="141" t="str">
        <f t="shared" si="51"/>
        <v/>
      </c>
      <c r="N484" s="141" t="str">
        <f t="shared" si="52"/>
        <v/>
      </c>
    </row>
    <row r="485" spans="1:14">
      <c r="A485" s="145" t="str">
        <f>IF(C485="","",VLOOKUP('Opći dio'!$C$3,'Opći dio'!$L$6:$U$136,10,FALSE))</f>
        <v/>
      </c>
      <c r="B485" s="145" t="str">
        <f>IF(C485="","",VLOOKUP('Opći dio'!$C$3,'Opći dio'!$L$6:$U$136,9,FALSE))</f>
        <v/>
      </c>
      <c r="C485" s="151"/>
      <c r="D485" s="146" t="str">
        <f t="shared" si="48"/>
        <v/>
      </c>
      <c r="E485" s="151"/>
      <c r="F485" s="146" t="str">
        <f t="shared" si="49"/>
        <v/>
      </c>
      <c r="G485" s="186"/>
      <c r="H485" s="146" t="str">
        <f t="shared" si="50"/>
        <v/>
      </c>
      <c r="I485" s="185"/>
      <c r="J485" s="185"/>
      <c r="K485" s="185"/>
      <c r="M485" s="141" t="str">
        <f t="shared" si="51"/>
        <v/>
      </c>
      <c r="N485" s="141" t="str">
        <f t="shared" si="52"/>
        <v/>
      </c>
    </row>
    <row r="486" spans="1:14">
      <c r="A486" s="145" t="str">
        <f>IF(C486="","",VLOOKUP('Opći dio'!$C$3,'Opći dio'!$L$6:$U$136,10,FALSE))</f>
        <v/>
      </c>
      <c r="B486" s="145" t="str">
        <f>IF(C486="","",VLOOKUP('Opći dio'!$C$3,'Opći dio'!$L$6:$U$136,9,FALSE))</f>
        <v/>
      </c>
      <c r="C486" s="151"/>
      <c r="D486" s="146" t="str">
        <f t="shared" si="48"/>
        <v/>
      </c>
      <c r="E486" s="151"/>
      <c r="F486" s="146" t="str">
        <f t="shared" si="49"/>
        <v/>
      </c>
      <c r="G486" s="186"/>
      <c r="H486" s="146" t="str">
        <f t="shared" si="50"/>
        <v/>
      </c>
      <c r="I486" s="185"/>
      <c r="J486" s="185"/>
      <c r="K486" s="185"/>
      <c r="M486" s="141" t="str">
        <f t="shared" si="51"/>
        <v/>
      </c>
      <c r="N486" s="141" t="str">
        <f t="shared" si="52"/>
        <v/>
      </c>
    </row>
    <row r="487" spans="1:14">
      <c r="A487" s="145" t="str">
        <f>IF(C487="","",VLOOKUP('Opći dio'!$C$3,'Opći dio'!$L$6:$U$136,10,FALSE))</f>
        <v/>
      </c>
      <c r="B487" s="145" t="str">
        <f>IF(C487="","",VLOOKUP('Opći dio'!$C$3,'Opći dio'!$L$6:$U$136,9,FALSE))</f>
        <v/>
      </c>
      <c r="C487" s="151"/>
      <c r="D487" s="146" t="str">
        <f t="shared" si="48"/>
        <v/>
      </c>
      <c r="E487" s="151"/>
      <c r="F487" s="146" t="str">
        <f t="shared" si="49"/>
        <v/>
      </c>
      <c r="G487" s="186"/>
      <c r="H487" s="146" t="str">
        <f t="shared" si="50"/>
        <v/>
      </c>
      <c r="I487" s="185"/>
      <c r="J487" s="185"/>
      <c r="K487" s="185"/>
      <c r="M487" s="141" t="str">
        <f t="shared" si="51"/>
        <v/>
      </c>
      <c r="N487" s="141" t="str">
        <f t="shared" si="52"/>
        <v/>
      </c>
    </row>
    <row r="488" spans="1:14">
      <c r="A488" s="145" t="str">
        <f>IF(C488="","",VLOOKUP('Opći dio'!$C$3,'Opći dio'!$L$6:$U$136,10,FALSE))</f>
        <v/>
      </c>
      <c r="B488" s="145" t="str">
        <f>IF(C488="","",VLOOKUP('Opći dio'!$C$3,'Opći dio'!$L$6:$U$136,9,FALSE))</f>
        <v/>
      </c>
      <c r="C488" s="151"/>
      <c r="D488" s="146" t="str">
        <f t="shared" si="48"/>
        <v/>
      </c>
      <c r="E488" s="151"/>
      <c r="F488" s="146" t="str">
        <f t="shared" si="49"/>
        <v/>
      </c>
      <c r="G488" s="186"/>
      <c r="H488" s="146" t="str">
        <f t="shared" si="50"/>
        <v/>
      </c>
      <c r="I488" s="185"/>
      <c r="J488" s="185"/>
      <c r="K488" s="185"/>
      <c r="M488" s="141" t="str">
        <f t="shared" si="51"/>
        <v/>
      </c>
      <c r="N488" s="141" t="str">
        <f t="shared" si="52"/>
        <v/>
      </c>
    </row>
    <row r="489" spans="1:14">
      <c r="A489" s="145" t="str">
        <f>IF(C489="","",VLOOKUP('Opći dio'!$C$3,'Opći dio'!$L$6:$U$136,10,FALSE))</f>
        <v/>
      </c>
      <c r="B489" s="145" t="str">
        <f>IF(C489="","",VLOOKUP('Opći dio'!$C$3,'Opći dio'!$L$6:$U$136,9,FALSE))</f>
        <v/>
      </c>
      <c r="C489" s="151"/>
      <c r="D489" s="146" t="str">
        <f t="shared" si="48"/>
        <v/>
      </c>
      <c r="E489" s="151"/>
      <c r="F489" s="146" t="str">
        <f t="shared" si="49"/>
        <v/>
      </c>
      <c r="G489" s="186"/>
      <c r="H489" s="146" t="str">
        <f t="shared" si="50"/>
        <v/>
      </c>
      <c r="I489" s="185"/>
      <c r="J489" s="185"/>
      <c r="K489" s="185"/>
      <c r="M489" s="141" t="str">
        <f t="shared" si="51"/>
        <v/>
      </c>
      <c r="N489" s="141" t="str">
        <f t="shared" si="52"/>
        <v/>
      </c>
    </row>
    <row r="490" spans="1:14">
      <c r="A490" s="145" t="str">
        <f>IF(C490="","",VLOOKUP('Opći dio'!$C$3,'Opći dio'!$L$6:$U$136,10,FALSE))</f>
        <v/>
      </c>
      <c r="B490" s="145" t="str">
        <f>IF(C490="","",VLOOKUP('Opći dio'!$C$3,'Opći dio'!$L$6:$U$136,9,FALSE))</f>
        <v/>
      </c>
      <c r="C490" s="151"/>
      <c r="D490" s="146" t="str">
        <f t="shared" si="48"/>
        <v/>
      </c>
      <c r="E490" s="151"/>
      <c r="F490" s="146" t="str">
        <f t="shared" si="49"/>
        <v/>
      </c>
      <c r="G490" s="186"/>
      <c r="H490" s="146" t="str">
        <f t="shared" si="50"/>
        <v/>
      </c>
      <c r="I490" s="185"/>
      <c r="J490" s="185"/>
      <c r="K490" s="185"/>
      <c r="M490" s="141" t="str">
        <f t="shared" si="51"/>
        <v/>
      </c>
      <c r="N490" s="141" t="str">
        <f t="shared" si="52"/>
        <v/>
      </c>
    </row>
    <row r="491" spans="1:14">
      <c r="A491" s="145" t="str">
        <f>IF(C491="","",VLOOKUP('Opći dio'!$C$3,'Opći dio'!$L$6:$U$136,10,FALSE))</f>
        <v/>
      </c>
      <c r="B491" s="145" t="str">
        <f>IF(C491="","",VLOOKUP('Opći dio'!$C$3,'Opći dio'!$L$6:$U$136,9,FALSE))</f>
        <v/>
      </c>
      <c r="C491" s="151"/>
      <c r="D491" s="146" t="str">
        <f t="shared" si="48"/>
        <v/>
      </c>
      <c r="E491" s="151"/>
      <c r="F491" s="146" t="str">
        <f t="shared" si="49"/>
        <v/>
      </c>
      <c r="G491" s="186"/>
      <c r="H491" s="146" t="str">
        <f t="shared" si="50"/>
        <v/>
      </c>
      <c r="I491" s="185"/>
      <c r="J491" s="185"/>
      <c r="K491" s="185"/>
      <c r="M491" s="141" t="str">
        <f t="shared" si="51"/>
        <v/>
      </c>
      <c r="N491" s="141" t="str">
        <f t="shared" si="52"/>
        <v/>
      </c>
    </row>
    <row r="492" spans="1:14">
      <c r="A492" s="145" t="str">
        <f>IF(C492="","",VLOOKUP('Opći dio'!$C$3,'Opći dio'!$L$6:$U$136,10,FALSE))</f>
        <v/>
      </c>
      <c r="B492" s="145" t="str">
        <f>IF(C492="","",VLOOKUP('Opći dio'!$C$3,'Opći dio'!$L$6:$U$136,9,FALSE))</f>
        <v/>
      </c>
      <c r="C492" s="151"/>
      <c r="D492" s="146" t="str">
        <f t="shared" si="48"/>
        <v/>
      </c>
      <c r="E492" s="151"/>
      <c r="F492" s="146" t="str">
        <f t="shared" si="49"/>
        <v/>
      </c>
      <c r="G492" s="186"/>
      <c r="H492" s="146" t="str">
        <f t="shared" si="50"/>
        <v/>
      </c>
      <c r="I492" s="185"/>
      <c r="J492" s="185"/>
      <c r="K492" s="185"/>
      <c r="M492" s="141" t="str">
        <f t="shared" si="51"/>
        <v/>
      </c>
      <c r="N492" s="141" t="str">
        <f t="shared" si="52"/>
        <v/>
      </c>
    </row>
    <row r="493" spans="1:14">
      <c r="A493" s="145" t="str">
        <f>IF(C493="","",VLOOKUP('Opći dio'!$C$3,'Opći dio'!$L$6:$U$136,10,FALSE))</f>
        <v/>
      </c>
      <c r="B493" s="145" t="str">
        <f>IF(C493="","",VLOOKUP('Opći dio'!$C$3,'Opći dio'!$L$6:$U$136,9,FALSE))</f>
        <v/>
      </c>
      <c r="C493" s="151"/>
      <c r="D493" s="146" t="str">
        <f t="shared" si="48"/>
        <v/>
      </c>
      <c r="E493" s="151"/>
      <c r="F493" s="146" t="str">
        <f t="shared" si="49"/>
        <v/>
      </c>
      <c r="G493" s="186"/>
      <c r="H493" s="146" t="str">
        <f t="shared" si="50"/>
        <v/>
      </c>
      <c r="I493" s="185"/>
      <c r="J493" s="185"/>
      <c r="K493" s="185"/>
      <c r="M493" s="141" t="str">
        <f t="shared" si="51"/>
        <v/>
      </c>
      <c r="N493" s="141" t="str">
        <f t="shared" si="52"/>
        <v/>
      </c>
    </row>
    <row r="494" spans="1:14">
      <c r="A494" s="145" t="str">
        <f>IF(C494="","",VLOOKUP('Opći dio'!$C$3,'Opći dio'!$L$6:$U$136,10,FALSE))</f>
        <v/>
      </c>
      <c r="B494" s="145" t="str">
        <f>IF(C494="","",VLOOKUP('Opći dio'!$C$3,'Opći dio'!$L$6:$U$136,9,FALSE))</f>
        <v/>
      </c>
      <c r="C494" s="151"/>
      <c r="D494" s="146" t="str">
        <f t="shared" si="48"/>
        <v/>
      </c>
      <c r="E494" s="151"/>
      <c r="F494" s="146" t="str">
        <f t="shared" si="49"/>
        <v/>
      </c>
      <c r="G494" s="186"/>
      <c r="H494" s="146" t="str">
        <f t="shared" si="50"/>
        <v/>
      </c>
      <c r="I494" s="185"/>
      <c r="J494" s="185"/>
      <c r="K494" s="185"/>
      <c r="M494" s="141" t="str">
        <f t="shared" si="51"/>
        <v/>
      </c>
      <c r="N494" s="141" t="str">
        <f t="shared" si="52"/>
        <v/>
      </c>
    </row>
    <row r="495" spans="1:14">
      <c r="A495" s="145" t="str">
        <f>IF(C495="","",VLOOKUP('Opći dio'!$C$3,'Opći dio'!$L$6:$U$136,10,FALSE))</f>
        <v/>
      </c>
      <c r="B495" s="145" t="str">
        <f>IF(C495="","",VLOOKUP('Opći dio'!$C$3,'Opći dio'!$L$6:$U$136,9,FALSE))</f>
        <v/>
      </c>
      <c r="C495" s="151"/>
      <c r="D495" s="146" t="str">
        <f t="shared" si="48"/>
        <v/>
      </c>
      <c r="E495" s="151"/>
      <c r="F495" s="146" t="str">
        <f t="shared" si="49"/>
        <v/>
      </c>
      <c r="G495" s="186"/>
      <c r="H495" s="146" t="str">
        <f t="shared" si="50"/>
        <v/>
      </c>
      <c r="I495" s="185"/>
      <c r="J495" s="185"/>
      <c r="K495" s="185"/>
      <c r="M495" s="141" t="str">
        <f t="shared" si="51"/>
        <v/>
      </c>
      <c r="N495" s="141" t="str">
        <f t="shared" si="52"/>
        <v/>
      </c>
    </row>
    <row r="496" spans="1:14">
      <c r="A496" s="145" t="str">
        <f>IF(C496="","",VLOOKUP('Opći dio'!$C$3,'Opći dio'!$L$6:$U$136,10,FALSE))</f>
        <v/>
      </c>
      <c r="B496" s="145" t="str">
        <f>IF(C496="","",VLOOKUP('Opći dio'!$C$3,'Opći dio'!$L$6:$U$136,9,FALSE))</f>
        <v/>
      </c>
      <c r="C496" s="151"/>
      <c r="D496" s="146" t="str">
        <f t="shared" si="48"/>
        <v/>
      </c>
      <c r="E496" s="151"/>
      <c r="F496" s="146" t="str">
        <f t="shared" si="49"/>
        <v/>
      </c>
      <c r="G496" s="186"/>
      <c r="H496" s="146" t="str">
        <f t="shared" si="50"/>
        <v/>
      </c>
      <c r="I496" s="185"/>
      <c r="J496" s="185"/>
      <c r="K496" s="185"/>
      <c r="M496" s="141" t="str">
        <f t="shared" si="51"/>
        <v/>
      </c>
      <c r="N496" s="141" t="str">
        <f t="shared" si="52"/>
        <v/>
      </c>
    </row>
    <row r="497" spans="1:14">
      <c r="A497" s="145" t="str">
        <f>IF(C497="","",VLOOKUP('Opći dio'!$C$3,'Opći dio'!$L$6:$U$136,10,FALSE))</f>
        <v/>
      </c>
      <c r="B497" s="145" t="str">
        <f>IF(C497="","",VLOOKUP('Opći dio'!$C$3,'Opći dio'!$L$6:$U$136,9,FALSE))</f>
        <v/>
      </c>
      <c r="C497" s="151"/>
      <c r="D497" s="146" t="str">
        <f t="shared" si="48"/>
        <v/>
      </c>
      <c r="E497" s="151"/>
      <c r="F497" s="146" t="str">
        <f t="shared" si="49"/>
        <v/>
      </c>
      <c r="G497" s="186"/>
      <c r="H497" s="146" t="str">
        <f t="shared" si="50"/>
        <v/>
      </c>
      <c r="I497" s="185"/>
      <c r="J497" s="185"/>
      <c r="K497" s="185"/>
      <c r="M497" s="141" t="str">
        <f t="shared" si="51"/>
        <v/>
      </c>
      <c r="N497" s="141" t="str">
        <f t="shared" si="52"/>
        <v/>
      </c>
    </row>
    <row r="498" spans="1:14">
      <c r="A498" s="145" t="str">
        <f>IF(C498="","",VLOOKUP('Opći dio'!$C$3,'Opći dio'!$L$6:$U$136,10,FALSE))</f>
        <v/>
      </c>
      <c r="B498" s="145" t="str">
        <f>IF(C498="","",VLOOKUP('Opći dio'!$C$3,'Opći dio'!$L$6:$U$136,9,FALSE))</f>
        <v/>
      </c>
      <c r="C498" s="151"/>
      <c r="D498" s="146" t="str">
        <f t="shared" si="48"/>
        <v/>
      </c>
      <c r="E498" s="151"/>
      <c r="F498" s="146" t="str">
        <f t="shared" si="49"/>
        <v/>
      </c>
      <c r="G498" s="186"/>
      <c r="H498" s="146" t="str">
        <f t="shared" si="50"/>
        <v/>
      </c>
      <c r="I498" s="185"/>
      <c r="J498" s="185"/>
      <c r="K498" s="185"/>
      <c r="M498" s="141" t="str">
        <f t="shared" si="51"/>
        <v/>
      </c>
      <c r="N498" s="141" t="str">
        <f t="shared" si="52"/>
        <v/>
      </c>
    </row>
    <row r="499" spans="1:14">
      <c r="A499" s="145" t="str">
        <f>IF(C499="","",VLOOKUP('Opći dio'!$C$3,'Opći dio'!$L$6:$U$136,10,FALSE))</f>
        <v/>
      </c>
      <c r="B499" s="145" t="str">
        <f>IF(C499="","",VLOOKUP('Opći dio'!$C$3,'Opći dio'!$L$6:$U$136,9,FALSE))</f>
        <v/>
      </c>
      <c r="C499" s="151"/>
      <c r="D499" s="146" t="str">
        <f t="shared" si="48"/>
        <v/>
      </c>
      <c r="E499" s="151"/>
      <c r="F499" s="146" t="str">
        <f t="shared" si="49"/>
        <v/>
      </c>
      <c r="G499" s="186"/>
      <c r="H499" s="146" t="str">
        <f t="shared" si="50"/>
        <v/>
      </c>
      <c r="I499" s="185"/>
      <c r="J499" s="185"/>
      <c r="K499" s="185"/>
      <c r="M499" s="141" t="str">
        <f t="shared" si="51"/>
        <v/>
      </c>
      <c r="N499" s="141" t="str">
        <f t="shared" si="52"/>
        <v/>
      </c>
    </row>
    <row r="500" spans="1:14">
      <c r="A500" s="145" t="str">
        <f>IF(C500="","",VLOOKUP('Opći dio'!$C$3,'Opći dio'!$L$6:$U$136,10,FALSE))</f>
        <v/>
      </c>
      <c r="B500" s="145" t="str">
        <f>IF(C500="","",VLOOKUP('Opći dio'!$C$3,'Opći dio'!$L$6:$U$136,9,FALSE))</f>
        <v/>
      </c>
      <c r="C500" s="151"/>
      <c r="D500" s="146" t="str">
        <f t="shared" si="48"/>
        <v/>
      </c>
      <c r="E500" s="151"/>
      <c r="F500" s="146" t="str">
        <f t="shared" si="49"/>
        <v/>
      </c>
      <c r="G500" s="186"/>
      <c r="H500" s="146" t="str">
        <f t="shared" si="50"/>
        <v/>
      </c>
      <c r="I500" s="185"/>
      <c r="J500" s="185"/>
      <c r="K500" s="185"/>
      <c r="M500" s="141" t="str">
        <f t="shared" si="51"/>
        <v/>
      </c>
      <c r="N500" s="141" t="str">
        <f t="shared" si="52"/>
        <v/>
      </c>
    </row>
    <row r="501" spans="1:14">
      <c r="A501" s="145" t="str">
        <f>IF(C501="","",VLOOKUP('Opći dio'!$C$3,'Opći dio'!$L$6:$U$136,10,FALSE))</f>
        <v/>
      </c>
      <c r="B501" s="145" t="str">
        <f>IF(C501="","",VLOOKUP('Opći dio'!$C$3,'Opći dio'!$L$6:$U$136,9,FALSE))</f>
        <v/>
      </c>
      <c r="C501" s="151"/>
      <c r="D501" s="146" t="str">
        <f t="shared" si="48"/>
        <v/>
      </c>
      <c r="E501" s="151"/>
      <c r="F501" s="146" t="str">
        <f t="shared" si="49"/>
        <v/>
      </c>
      <c r="G501" s="186"/>
      <c r="H501" s="146" t="str">
        <f t="shared" si="50"/>
        <v/>
      </c>
      <c r="I501" s="185"/>
      <c r="J501" s="185"/>
      <c r="K501" s="185"/>
      <c r="M501" s="141" t="str">
        <f t="shared" si="51"/>
        <v/>
      </c>
      <c r="N501" s="141" t="str">
        <f t="shared" si="52"/>
        <v/>
      </c>
    </row>
    <row r="502" spans="1:14"/>
    <row r="503" spans="1:14" hidden="1"/>
    <row r="504" spans="1:14" hidden="1"/>
    <row r="505" spans="1:14" hidden="1"/>
    <row r="506" spans="1:14" hidden="1"/>
    <row r="507" spans="1:14" hidden="1"/>
  </sheetData>
  <sheetProtection password="DE31" sheet="1" objects="1" scenarios="1" selectLockedCells="1"/>
  <sortState ref="X9:Y71">
    <sortCondition ref="X6"/>
  </sortState>
  <mergeCells count="1">
    <mergeCell ref="A1:D1"/>
  </mergeCells>
  <dataValidations count="4">
    <dataValidation type="whole" allowBlank="1" showInputMessage="1" showErrorMessage="1" errorTitle="GREŠKA" error="U ovo polje je dozvoljen unos samo brojčanih vrijednosti (bez decimala!)" sqref="I3:K501">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U ovo polje je dozvoljen unos samo brojčanih vrijednosti (bez decimala!)" prompt="Molimo odaberite vrijednost iz padajućeg izbornika!" sqref="G3:G501">
      <formula1>$X$6:$X$177</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2"/>
  <sheetViews>
    <sheetView showGridLines="0" zoomScaleNormal="100" workbookViewId="0">
      <pane ySplit="2" topLeftCell="A3" activePane="bottomLeft" state="frozen"/>
      <selection pane="bottomLeft" activeCell="I16" sqref="I16"/>
    </sheetView>
  </sheetViews>
  <sheetFormatPr defaultColWidth="9.140625" defaultRowHeight="15" zeroHeight="1"/>
  <cols>
    <col min="1" max="1" width="11.5703125" style="141" customWidth="1"/>
    <col min="2" max="2" width="32.140625" style="141" customWidth="1"/>
    <col min="3" max="3" width="11.28515625" style="141" customWidth="1"/>
    <col min="4" max="4" width="25.42578125" style="141" customWidth="1"/>
    <col min="5" max="5" width="16.42578125" style="141" customWidth="1"/>
    <col min="6" max="6" width="27.140625" style="141" customWidth="1"/>
    <col min="7" max="7" width="16.42578125" style="142" customWidth="1"/>
    <col min="8" max="8" width="15.7109375" style="142" customWidth="1"/>
    <col min="9" max="9" width="15.140625" style="142" customWidth="1"/>
    <col min="10" max="10" width="33.7109375" style="142" customWidth="1"/>
    <col min="11" max="12" width="9.5703125" style="142" customWidth="1"/>
    <col min="13" max="13" width="15.140625" style="142" customWidth="1"/>
    <col min="14" max="14" width="18.28515625" style="142" customWidth="1"/>
    <col min="15" max="15" width="9.140625" style="141" customWidth="1"/>
    <col min="16" max="18" width="9.140625" style="141" hidden="1" customWidth="1"/>
    <col min="19" max="19" width="46.5703125" style="141" hidden="1" customWidth="1"/>
    <col min="20" max="21" width="9.140625" style="141" hidden="1" customWidth="1"/>
    <col min="22" max="22" width="58.85546875" style="141" hidden="1" customWidth="1"/>
    <col min="23" max="26" width="9.140625" style="141" hidden="1" customWidth="1"/>
    <col min="27" max="27" width="14.7109375" style="141" hidden="1" customWidth="1"/>
    <col min="28" max="28" width="9.140625" style="141" hidden="1" customWidth="1"/>
    <col min="29" max="30" width="9.140625" style="141" customWidth="1"/>
    <col min="31" max="16384" width="9.140625" style="141"/>
  </cols>
  <sheetData>
    <row r="1" spans="1:28" ht="35.25" customHeight="1">
      <c r="A1" s="320" t="s">
        <v>792</v>
      </c>
      <c r="B1" s="320"/>
      <c r="C1" s="190" t="str">
        <f>IF('Opći dio'!C3="odaberite -","Molimo odaberite proračunskog korisnika na radnom listu Opći podaci!","")</f>
        <v/>
      </c>
    </row>
    <row r="2" spans="1:28" ht="60">
      <c r="A2" s="202" t="s">
        <v>786</v>
      </c>
      <c r="B2" s="203" t="s">
        <v>46</v>
      </c>
      <c r="C2" s="202" t="s">
        <v>784</v>
      </c>
      <c r="D2" s="203" t="s">
        <v>785</v>
      </c>
      <c r="E2" s="202" t="s">
        <v>793</v>
      </c>
      <c r="F2" s="203" t="s">
        <v>48</v>
      </c>
      <c r="G2" s="192" t="s">
        <v>2141</v>
      </c>
      <c r="H2" s="192" t="s">
        <v>2142</v>
      </c>
      <c r="I2" s="192" t="s">
        <v>2143</v>
      </c>
      <c r="J2" s="204" t="s">
        <v>794</v>
      </c>
      <c r="K2" s="204" t="s">
        <v>795</v>
      </c>
      <c r="L2" s="204" t="s">
        <v>796</v>
      </c>
      <c r="M2" s="204" t="s">
        <v>797</v>
      </c>
      <c r="N2" s="204" t="s">
        <v>798</v>
      </c>
      <c r="P2" s="144" t="s">
        <v>759</v>
      </c>
      <c r="Q2" s="144" t="s">
        <v>760</v>
      </c>
    </row>
    <row r="3" spans="1:28">
      <c r="A3" s="300">
        <v>51</v>
      </c>
      <c r="B3" s="146" t="str">
        <f t="shared" ref="B3" si="0">IFERROR(VLOOKUP(A3,$R$6:$S$23,2,FALSE),"")</f>
        <v>Pomoći EU</v>
      </c>
      <c r="C3" s="301">
        <v>3211</v>
      </c>
      <c r="D3" s="146" t="str">
        <f>IFERROR(VLOOKUP(C3,$U$5:$W$129,2,FALSE),"")</f>
        <v>Službena putovanja</v>
      </c>
      <c r="E3" s="302" t="s">
        <v>827</v>
      </c>
      <c r="F3" s="146" t="str">
        <f>IFERROR(VLOOKUP(E3,$AA$5:$AB$500,2,FALSE),"")</f>
        <v>NOVI PODPROJEKT</v>
      </c>
      <c r="G3" s="303">
        <v>143843</v>
      </c>
      <c r="H3" s="303">
        <v>143843</v>
      </c>
      <c r="I3" s="303"/>
      <c r="J3" s="279" t="s">
        <v>2336</v>
      </c>
      <c r="K3" s="282" t="s">
        <v>2343</v>
      </c>
      <c r="L3" s="282" t="s">
        <v>2344</v>
      </c>
      <c r="M3" s="285" t="s">
        <v>2356</v>
      </c>
      <c r="N3" s="288" t="s">
        <v>2364</v>
      </c>
      <c r="P3" s="141" t="str">
        <f>LEFT(C3,3)</f>
        <v>321</v>
      </c>
      <c r="Q3" s="141" t="str">
        <f>LEFT(C3,2)</f>
        <v>32</v>
      </c>
    </row>
    <row r="4" spans="1:28">
      <c r="A4" s="300">
        <v>51</v>
      </c>
      <c r="B4" s="146" t="str">
        <f t="shared" ref="B4:B67" si="1">IFERROR(VLOOKUP(A4,$R$6:$S$23,2,FALSE),"")</f>
        <v>Pomoći EU</v>
      </c>
      <c r="C4" s="301">
        <v>3111</v>
      </c>
      <c r="D4" s="146" t="str">
        <f t="shared" ref="D4:D67" si="2">IFERROR(VLOOKUP(C4,$U$5:$W$129,2,FALSE),"")</f>
        <v>Plaće za redovan rad</v>
      </c>
      <c r="E4" s="302" t="s">
        <v>1026</v>
      </c>
      <c r="F4" s="146" t="str">
        <f t="shared" ref="F4:F67" si="3">IFERROR(VLOOKUP(E4,$AA$5:$AB$500,2,FALSE),"")</f>
        <v>Obzor 2020  CEF - Poticanje istraživanja Connecting Europe Facilites i Norveške zaklade za znanost</v>
      </c>
      <c r="G4" s="303">
        <v>300000</v>
      </c>
      <c r="H4" s="303">
        <v>300000</v>
      </c>
      <c r="I4" s="303"/>
      <c r="J4" s="280" t="s">
        <v>2337</v>
      </c>
      <c r="K4" s="282" t="s">
        <v>2345</v>
      </c>
      <c r="L4" s="282" t="s">
        <v>2346</v>
      </c>
      <c r="M4" s="286" t="s">
        <v>2357</v>
      </c>
      <c r="N4" s="288" t="s">
        <v>2365</v>
      </c>
      <c r="P4" s="141" t="str">
        <f t="shared" ref="P4:P67" si="4">LEFT(C4,3)</f>
        <v>311</v>
      </c>
      <c r="Q4" s="141" t="str">
        <f t="shared" ref="Q4:Q67" si="5">LEFT(C4,2)</f>
        <v>31</v>
      </c>
      <c r="U4" s="147"/>
      <c r="V4" s="147"/>
    </row>
    <row r="5" spans="1:28">
      <c r="A5" s="300">
        <v>51</v>
      </c>
      <c r="B5" s="146" t="str">
        <f t="shared" si="1"/>
        <v>Pomoći EU</v>
      </c>
      <c r="C5" s="301">
        <v>3132</v>
      </c>
      <c r="D5" s="146" t="str">
        <f t="shared" si="2"/>
        <v>Doprinosi za obvezno zdravstveno osiguranje</v>
      </c>
      <c r="E5" s="302" t="s">
        <v>1026</v>
      </c>
      <c r="F5" s="146" t="str">
        <f t="shared" si="3"/>
        <v>Obzor 2020  CEF - Poticanje istraživanja Connecting Europe Facilites i Norveške zaklade za znanost</v>
      </c>
      <c r="G5" s="303">
        <v>45000</v>
      </c>
      <c r="H5" s="303">
        <v>45000</v>
      </c>
      <c r="I5" s="303"/>
      <c r="J5" s="280" t="s">
        <v>2337</v>
      </c>
      <c r="K5" s="282" t="s">
        <v>2345</v>
      </c>
      <c r="L5" s="282" t="s">
        <v>2346</v>
      </c>
      <c r="M5" s="286" t="s">
        <v>2357</v>
      </c>
      <c r="N5" s="288" t="s">
        <v>2365</v>
      </c>
      <c r="P5" s="141" t="str">
        <f t="shared" si="4"/>
        <v>313</v>
      </c>
      <c r="Q5" s="141" t="str">
        <f t="shared" si="5"/>
        <v>31</v>
      </c>
      <c r="R5" s="141" t="s">
        <v>45</v>
      </c>
      <c r="S5" s="141" t="s">
        <v>46</v>
      </c>
      <c r="U5" s="141">
        <v>3111</v>
      </c>
      <c r="V5" s="141" t="s">
        <v>54</v>
      </c>
      <c r="X5" s="141" t="str">
        <f t="shared" ref="X5:X68" si="6">LEFT(U5,2)</f>
        <v>31</v>
      </c>
      <c r="Y5" s="141" t="str">
        <f>LEFT(U5,3)</f>
        <v>311</v>
      </c>
      <c r="AA5" s="141" t="s">
        <v>47</v>
      </c>
      <c r="AB5" s="141" t="s">
        <v>48</v>
      </c>
    </row>
    <row r="6" spans="1:28">
      <c r="A6" s="300">
        <v>51</v>
      </c>
      <c r="B6" s="146" t="str">
        <f t="shared" si="1"/>
        <v>Pomoći EU</v>
      </c>
      <c r="C6" s="301">
        <v>3211</v>
      </c>
      <c r="D6" s="146" t="str">
        <f t="shared" si="2"/>
        <v>Službena putovanja</v>
      </c>
      <c r="E6" s="302" t="s">
        <v>1026</v>
      </c>
      <c r="F6" s="146" t="str">
        <f t="shared" si="3"/>
        <v>Obzor 2020  CEF - Poticanje istraživanja Connecting Europe Facilites i Norveške zaklade za znanost</v>
      </c>
      <c r="G6" s="303">
        <v>52522</v>
      </c>
      <c r="H6" s="303">
        <v>52522</v>
      </c>
      <c r="I6" s="303"/>
      <c r="J6" s="280" t="s">
        <v>2337</v>
      </c>
      <c r="K6" s="282" t="s">
        <v>2345</v>
      </c>
      <c r="L6" s="282" t="s">
        <v>2346</v>
      </c>
      <c r="M6" s="286" t="s">
        <v>2357</v>
      </c>
      <c r="N6" s="288" t="s">
        <v>2365</v>
      </c>
      <c r="P6" s="141" t="str">
        <f t="shared" si="4"/>
        <v>321</v>
      </c>
      <c r="Q6" s="141" t="str">
        <f t="shared" si="5"/>
        <v>32</v>
      </c>
      <c r="R6" s="141">
        <v>11</v>
      </c>
      <c r="S6" s="141" t="s">
        <v>53</v>
      </c>
      <c r="U6" s="141">
        <v>3112</v>
      </c>
      <c r="V6" s="141" t="s">
        <v>153</v>
      </c>
      <c r="X6" s="141" t="str">
        <f t="shared" si="6"/>
        <v>31</v>
      </c>
      <c r="Y6" s="141" t="str">
        <f t="shared" ref="Y6:Y69" si="7">LEFT(U6,3)</f>
        <v>311</v>
      </c>
      <c r="AA6" s="141" t="s">
        <v>827</v>
      </c>
      <c r="AB6" s="141" t="s">
        <v>827</v>
      </c>
    </row>
    <row r="7" spans="1:28">
      <c r="A7" s="300">
        <v>51</v>
      </c>
      <c r="B7" s="146" t="str">
        <f t="shared" si="1"/>
        <v>Pomoći EU</v>
      </c>
      <c r="C7" s="301">
        <v>3237</v>
      </c>
      <c r="D7" s="146" t="str">
        <f t="shared" si="2"/>
        <v>Intelektualne i osobne usluge</v>
      </c>
      <c r="E7" s="302" t="s">
        <v>827</v>
      </c>
      <c r="F7" s="146" t="str">
        <f t="shared" si="3"/>
        <v>NOVI PODPROJEKT</v>
      </c>
      <c r="G7" s="303">
        <v>10946</v>
      </c>
      <c r="H7" s="303">
        <v>602503</v>
      </c>
      <c r="I7" s="303"/>
      <c r="J7" s="280" t="s">
        <v>1898</v>
      </c>
      <c r="K7" s="283" t="s">
        <v>2347</v>
      </c>
      <c r="L7" s="283" t="s">
        <v>2348</v>
      </c>
      <c r="M7" s="286" t="s">
        <v>2358</v>
      </c>
      <c r="N7" s="288" t="s">
        <v>2366</v>
      </c>
      <c r="P7" s="141" t="str">
        <f t="shared" si="4"/>
        <v>323</v>
      </c>
      <c r="Q7" s="141" t="str">
        <f t="shared" si="5"/>
        <v>32</v>
      </c>
      <c r="R7" s="141">
        <v>12</v>
      </c>
      <c r="S7" s="141" t="s">
        <v>263</v>
      </c>
      <c r="U7" s="141">
        <v>3113</v>
      </c>
      <c r="V7" s="141" t="s">
        <v>132</v>
      </c>
      <c r="X7" s="141" t="str">
        <f t="shared" si="6"/>
        <v>31</v>
      </c>
      <c r="Y7" s="141" t="str">
        <f t="shared" si="7"/>
        <v>311</v>
      </c>
      <c r="AA7" s="141" t="s">
        <v>1447</v>
      </c>
      <c r="AB7" s="141" t="s">
        <v>1448</v>
      </c>
    </row>
    <row r="8" spans="1:28">
      <c r="A8" s="300">
        <v>51</v>
      </c>
      <c r="B8" s="146" t="str">
        <f t="shared" si="1"/>
        <v>Pomoći EU</v>
      </c>
      <c r="C8" s="301">
        <v>3111</v>
      </c>
      <c r="D8" s="146" t="str">
        <f t="shared" si="2"/>
        <v>Plaće za redovan rad</v>
      </c>
      <c r="E8" s="302" t="s">
        <v>827</v>
      </c>
      <c r="F8" s="146" t="str">
        <f t="shared" si="3"/>
        <v>NOVI PODPROJEKT</v>
      </c>
      <c r="G8" s="303">
        <v>400000</v>
      </c>
      <c r="H8" s="303"/>
      <c r="I8" s="303"/>
      <c r="J8" s="280" t="s">
        <v>2338</v>
      </c>
      <c r="K8" s="283" t="s">
        <v>2349</v>
      </c>
      <c r="L8" s="283" t="s">
        <v>2350</v>
      </c>
      <c r="M8" s="286" t="s">
        <v>2359</v>
      </c>
      <c r="N8" s="288" t="s">
        <v>2367</v>
      </c>
      <c r="P8" s="141" t="str">
        <f t="shared" si="4"/>
        <v>311</v>
      </c>
      <c r="Q8" s="141" t="str">
        <f t="shared" si="5"/>
        <v>31</v>
      </c>
      <c r="R8" s="141">
        <v>31</v>
      </c>
      <c r="S8" s="141" t="s">
        <v>98</v>
      </c>
      <c r="U8" s="141">
        <v>3114</v>
      </c>
      <c r="V8" s="141" t="s">
        <v>154</v>
      </c>
      <c r="X8" s="141" t="str">
        <f t="shared" si="6"/>
        <v>31</v>
      </c>
      <c r="Y8" s="141" t="str">
        <f t="shared" si="7"/>
        <v>311</v>
      </c>
      <c r="AA8" s="141" t="s">
        <v>1449</v>
      </c>
      <c r="AB8" s="141" t="s">
        <v>1450</v>
      </c>
    </row>
    <row r="9" spans="1:28">
      <c r="A9" s="300">
        <v>51</v>
      </c>
      <c r="B9" s="146" t="str">
        <f t="shared" si="1"/>
        <v>Pomoći EU</v>
      </c>
      <c r="C9" s="301">
        <v>3132</v>
      </c>
      <c r="D9" s="146" t="str">
        <f t="shared" si="2"/>
        <v>Doprinosi za obvezno zdravstveno osiguranje</v>
      </c>
      <c r="E9" s="302" t="s">
        <v>827</v>
      </c>
      <c r="F9" s="146" t="str">
        <f t="shared" si="3"/>
        <v>NOVI PODPROJEKT</v>
      </c>
      <c r="G9" s="303">
        <v>80000</v>
      </c>
      <c r="H9" s="303"/>
      <c r="I9" s="303"/>
      <c r="J9" s="280" t="s">
        <v>2338</v>
      </c>
      <c r="K9" s="283" t="s">
        <v>2349</v>
      </c>
      <c r="L9" s="283" t="s">
        <v>2350</v>
      </c>
      <c r="M9" s="286" t="s">
        <v>2359</v>
      </c>
      <c r="N9" s="288" t="s">
        <v>2367</v>
      </c>
      <c r="P9" s="141" t="str">
        <f t="shared" si="4"/>
        <v>313</v>
      </c>
      <c r="Q9" s="141" t="str">
        <f t="shared" si="5"/>
        <v>31</v>
      </c>
      <c r="R9" s="141">
        <v>41</v>
      </c>
      <c r="S9" s="141" t="s">
        <v>1537</v>
      </c>
      <c r="U9" s="141">
        <v>3121</v>
      </c>
      <c r="V9" s="141" t="s">
        <v>57</v>
      </c>
      <c r="X9" s="141" t="str">
        <f t="shared" si="6"/>
        <v>31</v>
      </c>
      <c r="Y9" s="141" t="str">
        <f t="shared" si="7"/>
        <v>312</v>
      </c>
      <c r="AA9" s="141" t="s">
        <v>1451</v>
      </c>
      <c r="AB9" s="141" t="s">
        <v>1452</v>
      </c>
    </row>
    <row r="10" spans="1:28">
      <c r="A10" s="300">
        <v>51</v>
      </c>
      <c r="B10" s="146" t="str">
        <f t="shared" si="1"/>
        <v>Pomoći EU</v>
      </c>
      <c r="C10" s="301">
        <v>3211</v>
      </c>
      <c r="D10" s="146" t="str">
        <f t="shared" si="2"/>
        <v>Službena putovanja</v>
      </c>
      <c r="E10" s="302" t="s">
        <v>827</v>
      </c>
      <c r="F10" s="146" t="str">
        <f t="shared" si="3"/>
        <v>NOVI PODPROJEKT</v>
      </c>
      <c r="G10" s="303">
        <v>274573</v>
      </c>
      <c r="H10" s="303"/>
      <c r="I10" s="303"/>
      <c r="J10" s="280" t="s">
        <v>2338</v>
      </c>
      <c r="K10" s="283" t="s">
        <v>2349</v>
      </c>
      <c r="L10" s="283" t="s">
        <v>2350</v>
      </c>
      <c r="M10" s="286" t="s">
        <v>2359</v>
      </c>
      <c r="N10" s="288" t="s">
        <v>2367</v>
      </c>
      <c r="P10" s="141" t="str">
        <f t="shared" si="4"/>
        <v>321</v>
      </c>
      <c r="Q10" s="141" t="str">
        <f t="shared" si="5"/>
        <v>32</v>
      </c>
      <c r="R10" s="141">
        <v>43</v>
      </c>
      <c r="S10" s="141" t="s">
        <v>103</v>
      </c>
      <c r="U10" s="195">
        <v>3132</v>
      </c>
      <c r="V10" s="195" t="s">
        <v>58</v>
      </c>
      <c r="W10" s="195"/>
      <c r="X10" s="195" t="str">
        <f t="shared" si="6"/>
        <v>31</v>
      </c>
      <c r="Y10" s="195" t="str">
        <f t="shared" si="7"/>
        <v>313</v>
      </c>
      <c r="AA10" s="141" t="s">
        <v>1453</v>
      </c>
      <c r="AB10" s="141" t="s">
        <v>1454</v>
      </c>
    </row>
    <row r="11" spans="1:28">
      <c r="A11" s="300">
        <v>51</v>
      </c>
      <c r="B11" s="146" t="str">
        <f t="shared" si="1"/>
        <v>Pomoći EU</v>
      </c>
      <c r="C11" s="301">
        <v>3111</v>
      </c>
      <c r="D11" s="146" t="str">
        <f t="shared" si="2"/>
        <v>Plaće za redovan rad</v>
      </c>
      <c r="E11" s="302" t="s">
        <v>827</v>
      </c>
      <c r="F11" s="146" t="str">
        <f t="shared" si="3"/>
        <v>NOVI PODPROJEKT</v>
      </c>
      <c r="G11" s="303">
        <v>350000</v>
      </c>
      <c r="H11" s="303">
        <v>350000</v>
      </c>
      <c r="I11" s="303">
        <v>350000</v>
      </c>
      <c r="J11" s="281" t="s">
        <v>2339</v>
      </c>
      <c r="K11" s="284" t="s">
        <v>2349</v>
      </c>
      <c r="L11" s="284" t="s">
        <v>2351</v>
      </c>
      <c r="M11" s="287" t="s">
        <v>2360</v>
      </c>
      <c r="N11" s="289" t="s">
        <v>2368</v>
      </c>
      <c r="P11" s="141" t="str">
        <f t="shared" si="4"/>
        <v>311</v>
      </c>
      <c r="Q11" s="141" t="str">
        <f t="shared" si="5"/>
        <v>31</v>
      </c>
      <c r="R11" s="141">
        <v>51</v>
      </c>
      <c r="S11" s="141" t="s">
        <v>93</v>
      </c>
      <c r="U11" s="141">
        <v>3211</v>
      </c>
      <c r="V11" s="141" t="s">
        <v>85</v>
      </c>
      <c r="X11" s="141" t="str">
        <f t="shared" si="6"/>
        <v>32</v>
      </c>
      <c r="Y11" s="141" t="str">
        <f t="shared" si="7"/>
        <v>321</v>
      </c>
      <c r="AA11" s="141" t="s">
        <v>1455</v>
      </c>
      <c r="AB11" s="141" t="s">
        <v>1456</v>
      </c>
    </row>
    <row r="12" spans="1:28">
      <c r="A12" s="300">
        <v>51</v>
      </c>
      <c r="B12" s="146" t="str">
        <f t="shared" si="1"/>
        <v>Pomoći EU</v>
      </c>
      <c r="C12" s="301">
        <v>3132</v>
      </c>
      <c r="D12" s="146" t="str">
        <f t="shared" si="2"/>
        <v>Doprinosi za obvezno zdravstveno osiguranje</v>
      </c>
      <c r="E12" s="302" t="s">
        <v>827</v>
      </c>
      <c r="F12" s="146" t="str">
        <f t="shared" si="3"/>
        <v>NOVI PODPROJEKT</v>
      </c>
      <c r="G12" s="303">
        <v>70000</v>
      </c>
      <c r="H12" s="303">
        <v>70000</v>
      </c>
      <c r="I12" s="303">
        <v>70000</v>
      </c>
      <c r="J12" s="281" t="s">
        <v>2339</v>
      </c>
      <c r="K12" s="284" t="s">
        <v>2349</v>
      </c>
      <c r="L12" s="284" t="s">
        <v>2351</v>
      </c>
      <c r="M12" s="287" t="s">
        <v>2360</v>
      </c>
      <c r="N12" s="289" t="s">
        <v>2368</v>
      </c>
      <c r="P12" s="141" t="str">
        <f t="shared" si="4"/>
        <v>313</v>
      </c>
      <c r="Q12" s="141" t="str">
        <f t="shared" si="5"/>
        <v>31</v>
      </c>
      <c r="R12" s="141">
        <v>52</v>
      </c>
      <c r="S12" s="141" t="s">
        <v>116</v>
      </c>
      <c r="U12" s="141">
        <v>3212</v>
      </c>
      <c r="V12" s="141" t="s">
        <v>59</v>
      </c>
      <c r="X12" s="141" t="str">
        <f t="shared" si="6"/>
        <v>32</v>
      </c>
      <c r="Y12" s="141" t="str">
        <f t="shared" si="7"/>
        <v>321</v>
      </c>
      <c r="AA12" s="141" t="s">
        <v>1457</v>
      </c>
      <c r="AB12" s="141" t="s">
        <v>1458</v>
      </c>
    </row>
    <row r="13" spans="1:28">
      <c r="A13" s="300">
        <v>51</v>
      </c>
      <c r="B13" s="146" t="str">
        <f t="shared" si="1"/>
        <v>Pomoći EU</v>
      </c>
      <c r="C13" s="301">
        <v>3211</v>
      </c>
      <c r="D13" s="146" t="str">
        <f t="shared" si="2"/>
        <v>Službena putovanja</v>
      </c>
      <c r="E13" s="302" t="s">
        <v>827</v>
      </c>
      <c r="F13" s="146" t="str">
        <f t="shared" si="3"/>
        <v>NOVI PODPROJEKT</v>
      </c>
      <c r="G13" s="303">
        <v>457819</v>
      </c>
      <c r="H13" s="303">
        <v>457819</v>
      </c>
      <c r="I13" s="303">
        <v>457819</v>
      </c>
      <c r="J13" s="281" t="s">
        <v>2339</v>
      </c>
      <c r="K13" s="284" t="s">
        <v>2349</v>
      </c>
      <c r="L13" s="284" t="s">
        <v>2351</v>
      </c>
      <c r="M13" s="287" t="s">
        <v>2360</v>
      </c>
      <c r="N13" s="289" t="s">
        <v>2368</v>
      </c>
      <c r="P13" s="141" t="str">
        <f t="shared" si="4"/>
        <v>321</v>
      </c>
      <c r="Q13" s="141" t="str">
        <f t="shared" si="5"/>
        <v>32</v>
      </c>
      <c r="R13" s="141">
        <v>552</v>
      </c>
      <c r="S13" s="141" t="s">
        <v>1538</v>
      </c>
      <c r="U13" s="141">
        <v>3213</v>
      </c>
      <c r="V13" s="141" t="s">
        <v>104</v>
      </c>
      <c r="X13" s="141" t="str">
        <f t="shared" si="6"/>
        <v>32</v>
      </c>
      <c r="Y13" s="141" t="str">
        <f t="shared" si="7"/>
        <v>321</v>
      </c>
      <c r="AA13" s="141" t="s">
        <v>1459</v>
      </c>
      <c r="AB13" s="141" t="s">
        <v>1115</v>
      </c>
    </row>
    <row r="14" spans="1:28">
      <c r="A14" s="300">
        <v>51</v>
      </c>
      <c r="B14" s="146" t="str">
        <f t="shared" si="1"/>
        <v>Pomoći EU</v>
      </c>
      <c r="C14" s="301">
        <v>3211</v>
      </c>
      <c r="D14" s="146" t="str">
        <f t="shared" si="2"/>
        <v>Službena putovanja</v>
      </c>
      <c r="E14" s="302" t="s">
        <v>1026</v>
      </c>
      <c r="F14" s="146" t="str">
        <f t="shared" si="3"/>
        <v>Obzor 2020  CEF - Poticanje istraživanja Connecting Europe Facilites i Norveške zaklade za znanost</v>
      </c>
      <c r="G14" s="303">
        <v>250000</v>
      </c>
      <c r="H14" s="303">
        <v>250000</v>
      </c>
      <c r="I14" s="303"/>
      <c r="J14" s="280" t="s">
        <v>2340</v>
      </c>
      <c r="K14" s="283" t="s">
        <v>2352</v>
      </c>
      <c r="L14" s="283" t="s">
        <v>2353</v>
      </c>
      <c r="M14" s="286" t="s">
        <v>2361</v>
      </c>
      <c r="N14" s="288" t="s">
        <v>2369</v>
      </c>
      <c r="P14" s="141" t="str">
        <f t="shared" si="4"/>
        <v>321</v>
      </c>
      <c r="Q14" s="141" t="str">
        <f t="shared" si="5"/>
        <v>32</v>
      </c>
      <c r="R14" s="141">
        <v>559</v>
      </c>
      <c r="S14" s="141" t="s">
        <v>1539</v>
      </c>
      <c r="U14" s="141">
        <v>3214</v>
      </c>
      <c r="V14" s="141" t="s">
        <v>133</v>
      </c>
      <c r="X14" s="141" t="str">
        <f t="shared" si="6"/>
        <v>32</v>
      </c>
      <c r="Y14" s="141" t="str">
        <f t="shared" si="7"/>
        <v>321</v>
      </c>
      <c r="AA14" s="141" t="s">
        <v>1460</v>
      </c>
      <c r="AB14" s="141" t="s">
        <v>1117</v>
      </c>
    </row>
    <row r="15" spans="1:28">
      <c r="A15" s="300">
        <v>51</v>
      </c>
      <c r="B15" s="146" t="str">
        <f t="shared" si="1"/>
        <v>Pomoći EU</v>
      </c>
      <c r="C15" s="301">
        <v>3237</v>
      </c>
      <c r="D15" s="146" t="str">
        <f t="shared" si="2"/>
        <v>Intelektualne i osobne usluge</v>
      </c>
      <c r="E15" s="302" t="s">
        <v>1026</v>
      </c>
      <c r="F15" s="146" t="str">
        <f t="shared" si="3"/>
        <v>Obzor 2020  CEF - Poticanje istraživanja Connecting Europe Facilites i Norveške zaklade za znanost</v>
      </c>
      <c r="G15" s="303">
        <v>150000</v>
      </c>
      <c r="H15" s="303">
        <v>150000</v>
      </c>
      <c r="I15" s="303"/>
      <c r="J15" s="280" t="s">
        <v>2340</v>
      </c>
      <c r="K15" s="283" t="s">
        <v>2352</v>
      </c>
      <c r="L15" s="283" t="s">
        <v>2353</v>
      </c>
      <c r="M15" s="286" t="s">
        <v>2361</v>
      </c>
      <c r="N15" s="288" t="s">
        <v>2369</v>
      </c>
      <c r="P15" s="141" t="str">
        <f t="shared" si="4"/>
        <v>323</v>
      </c>
      <c r="Q15" s="141" t="str">
        <f t="shared" si="5"/>
        <v>32</v>
      </c>
      <c r="R15" s="141">
        <v>561</v>
      </c>
      <c r="S15" s="141" t="s">
        <v>118</v>
      </c>
      <c r="U15" s="141">
        <v>3221</v>
      </c>
      <c r="V15" s="141" t="s">
        <v>86</v>
      </c>
      <c r="X15" s="141" t="str">
        <f t="shared" si="6"/>
        <v>32</v>
      </c>
      <c r="Y15" s="141" t="str">
        <f t="shared" si="7"/>
        <v>322</v>
      </c>
      <c r="AA15" s="141" t="s">
        <v>1461</v>
      </c>
      <c r="AB15" s="141" t="s">
        <v>1119</v>
      </c>
    </row>
    <row r="16" spans="1:28">
      <c r="A16" s="300">
        <v>51</v>
      </c>
      <c r="B16" s="146" t="str">
        <f t="shared" si="1"/>
        <v>Pomoći EU</v>
      </c>
      <c r="C16" s="301">
        <v>4241</v>
      </c>
      <c r="D16" s="146" t="str">
        <f t="shared" si="2"/>
        <v>Knjige</v>
      </c>
      <c r="E16" s="302" t="s">
        <v>1026</v>
      </c>
      <c r="F16" s="146" t="str">
        <f t="shared" si="3"/>
        <v>Obzor 2020  CEF - Poticanje istraživanja Connecting Europe Facilites i Norveške zaklade za znanost</v>
      </c>
      <c r="G16" s="303">
        <v>26411</v>
      </c>
      <c r="H16" s="303">
        <v>26411</v>
      </c>
      <c r="I16" s="303"/>
      <c r="J16" s="280" t="s">
        <v>2340</v>
      </c>
      <c r="K16" s="283" t="s">
        <v>2352</v>
      </c>
      <c r="L16" s="283" t="s">
        <v>2353</v>
      </c>
      <c r="M16" s="286" t="s">
        <v>2361</v>
      </c>
      <c r="N16" s="288" t="s">
        <v>2369</v>
      </c>
      <c r="P16" s="141" t="str">
        <f t="shared" si="4"/>
        <v>424</v>
      </c>
      <c r="Q16" s="141" t="str">
        <f t="shared" si="5"/>
        <v>42</v>
      </c>
      <c r="R16" s="141">
        <v>563</v>
      </c>
      <c r="S16" s="141" t="s">
        <v>120</v>
      </c>
      <c r="U16" s="141">
        <v>3222</v>
      </c>
      <c r="V16" s="141" t="s">
        <v>107</v>
      </c>
      <c r="X16" s="141" t="str">
        <f t="shared" si="6"/>
        <v>32</v>
      </c>
      <c r="Y16" s="141" t="str">
        <f t="shared" si="7"/>
        <v>322</v>
      </c>
      <c r="AA16" s="141" t="s">
        <v>1462</v>
      </c>
      <c r="AB16" s="141" t="s">
        <v>1463</v>
      </c>
    </row>
    <row r="17" spans="1:28">
      <c r="A17" s="300">
        <v>51</v>
      </c>
      <c r="B17" s="146" t="str">
        <f t="shared" si="1"/>
        <v>Pomoći EU</v>
      </c>
      <c r="C17" s="301">
        <v>3211</v>
      </c>
      <c r="D17" s="146" t="str">
        <f t="shared" si="2"/>
        <v>Službena putovanja</v>
      </c>
      <c r="E17" s="302" t="s">
        <v>827</v>
      </c>
      <c r="F17" s="146" t="str">
        <f t="shared" si="3"/>
        <v>NOVI PODPROJEKT</v>
      </c>
      <c r="G17" s="303">
        <v>350000</v>
      </c>
      <c r="H17" s="303">
        <v>300000</v>
      </c>
      <c r="I17" s="303">
        <v>100000</v>
      </c>
      <c r="J17" s="280" t="s">
        <v>2341</v>
      </c>
      <c r="K17" s="283" t="s">
        <v>2352</v>
      </c>
      <c r="L17" s="283" t="s">
        <v>2354</v>
      </c>
      <c r="M17" s="286" t="s">
        <v>2362</v>
      </c>
      <c r="N17" s="288" t="s">
        <v>2370</v>
      </c>
      <c r="P17" s="141" t="str">
        <f t="shared" si="4"/>
        <v>321</v>
      </c>
      <c r="Q17" s="141" t="str">
        <f t="shared" si="5"/>
        <v>32</v>
      </c>
      <c r="R17" s="141">
        <v>573</v>
      </c>
      <c r="S17" s="141" t="s">
        <v>1549</v>
      </c>
      <c r="U17" s="141">
        <v>3223</v>
      </c>
      <c r="V17" s="141" t="s">
        <v>95</v>
      </c>
      <c r="X17" s="141" t="str">
        <f t="shared" si="6"/>
        <v>32</v>
      </c>
      <c r="Y17" s="141" t="str">
        <f t="shared" si="7"/>
        <v>322</v>
      </c>
      <c r="AA17" s="141" t="s">
        <v>1464</v>
      </c>
      <c r="AB17" s="141" t="s">
        <v>1465</v>
      </c>
    </row>
    <row r="18" spans="1:28">
      <c r="A18" s="300">
        <v>51</v>
      </c>
      <c r="B18" s="146" t="str">
        <f t="shared" si="1"/>
        <v>Pomoći EU</v>
      </c>
      <c r="C18" s="301">
        <v>3237</v>
      </c>
      <c r="D18" s="146" t="str">
        <f t="shared" si="2"/>
        <v>Intelektualne i osobne usluge</v>
      </c>
      <c r="E18" s="302" t="s">
        <v>827</v>
      </c>
      <c r="F18" s="146" t="str">
        <f t="shared" si="3"/>
        <v>NOVI PODPROJEKT</v>
      </c>
      <c r="G18" s="303">
        <v>100000</v>
      </c>
      <c r="H18" s="303">
        <v>100000</v>
      </c>
      <c r="I18" s="303">
        <v>100000</v>
      </c>
      <c r="J18" s="280" t="s">
        <v>2341</v>
      </c>
      <c r="K18" s="283" t="s">
        <v>2352</v>
      </c>
      <c r="L18" s="283" t="s">
        <v>2354</v>
      </c>
      <c r="M18" s="286" t="s">
        <v>2362</v>
      </c>
      <c r="N18" s="288" t="s">
        <v>2370</v>
      </c>
      <c r="P18" s="141" t="str">
        <f t="shared" si="4"/>
        <v>323</v>
      </c>
      <c r="Q18" s="141" t="str">
        <f t="shared" si="5"/>
        <v>32</v>
      </c>
      <c r="R18" s="141">
        <v>575</v>
      </c>
      <c r="S18" s="141" t="s">
        <v>1551</v>
      </c>
      <c r="U18" s="141">
        <v>3224</v>
      </c>
      <c r="V18" s="141" t="s">
        <v>100</v>
      </c>
      <c r="X18" s="141" t="str">
        <f t="shared" si="6"/>
        <v>32</v>
      </c>
      <c r="Y18" s="141" t="str">
        <f t="shared" si="7"/>
        <v>322</v>
      </c>
      <c r="AA18" s="141" t="s">
        <v>1466</v>
      </c>
      <c r="AB18" s="141" t="s">
        <v>1467</v>
      </c>
    </row>
    <row r="19" spans="1:28">
      <c r="A19" s="300">
        <v>51</v>
      </c>
      <c r="B19" s="146" t="str">
        <f t="shared" si="1"/>
        <v>Pomoći EU</v>
      </c>
      <c r="C19" s="301">
        <v>4221</v>
      </c>
      <c r="D19" s="146" t="str">
        <f t="shared" si="2"/>
        <v>Uredska oprema i namještaj</v>
      </c>
      <c r="E19" s="302" t="s">
        <v>827</v>
      </c>
      <c r="F19" s="146" t="str">
        <f t="shared" si="3"/>
        <v>NOVI PODPROJEKT</v>
      </c>
      <c r="G19" s="303">
        <v>50000</v>
      </c>
      <c r="H19" s="303">
        <v>7710</v>
      </c>
      <c r="I19" s="303">
        <v>30000</v>
      </c>
      <c r="J19" s="280" t="s">
        <v>2341</v>
      </c>
      <c r="K19" s="283" t="s">
        <v>2352</v>
      </c>
      <c r="L19" s="283" t="s">
        <v>2354</v>
      </c>
      <c r="M19" s="286" t="s">
        <v>2362</v>
      </c>
      <c r="N19" s="288" t="s">
        <v>2370</v>
      </c>
      <c r="P19" s="141" t="str">
        <f t="shared" si="4"/>
        <v>422</v>
      </c>
      <c r="Q19" s="141" t="str">
        <f t="shared" si="5"/>
        <v>42</v>
      </c>
      <c r="R19" s="141">
        <v>576</v>
      </c>
      <c r="S19" s="141" t="s">
        <v>2126</v>
      </c>
      <c r="U19" s="141">
        <v>3225</v>
      </c>
      <c r="V19" s="141" t="s">
        <v>108</v>
      </c>
      <c r="X19" s="141" t="str">
        <f t="shared" si="6"/>
        <v>32</v>
      </c>
      <c r="Y19" s="141" t="str">
        <f t="shared" si="7"/>
        <v>322</v>
      </c>
      <c r="AA19" s="141" t="s">
        <v>1468</v>
      </c>
      <c r="AB19" s="141" t="s">
        <v>1469</v>
      </c>
    </row>
    <row r="20" spans="1:28">
      <c r="A20" s="300">
        <v>51</v>
      </c>
      <c r="B20" s="146" t="str">
        <f t="shared" si="1"/>
        <v>Pomoći EU</v>
      </c>
      <c r="C20" s="301">
        <v>4241</v>
      </c>
      <c r="D20" s="146" t="str">
        <f t="shared" si="2"/>
        <v>Knjige</v>
      </c>
      <c r="E20" s="302" t="s">
        <v>827</v>
      </c>
      <c r="F20" s="146" t="str">
        <f t="shared" si="3"/>
        <v>NOVI PODPROJEKT</v>
      </c>
      <c r="G20" s="303">
        <v>71235</v>
      </c>
      <c r="H20" s="303"/>
      <c r="I20" s="303">
        <v>65292</v>
      </c>
      <c r="J20" s="280" t="s">
        <v>2341</v>
      </c>
      <c r="K20" s="283" t="s">
        <v>2352</v>
      </c>
      <c r="L20" s="283" t="s">
        <v>2354</v>
      </c>
      <c r="M20" s="286" t="s">
        <v>2362</v>
      </c>
      <c r="N20" s="288" t="s">
        <v>2370</v>
      </c>
      <c r="P20" s="141" t="str">
        <f t="shared" si="4"/>
        <v>424</v>
      </c>
      <c r="Q20" s="141" t="str">
        <f t="shared" si="5"/>
        <v>42</v>
      </c>
      <c r="R20" s="141">
        <v>61</v>
      </c>
      <c r="S20" s="141" t="s">
        <v>122</v>
      </c>
      <c r="U20" s="141">
        <v>3226</v>
      </c>
      <c r="V20" s="141" t="s">
        <v>182</v>
      </c>
      <c r="X20" s="141" t="str">
        <f t="shared" si="6"/>
        <v>32</v>
      </c>
      <c r="Y20" s="141" t="str">
        <f t="shared" si="7"/>
        <v>322</v>
      </c>
      <c r="AA20" s="141" t="s">
        <v>1470</v>
      </c>
      <c r="AB20" s="141" t="s">
        <v>1471</v>
      </c>
    </row>
    <row r="21" spans="1:28">
      <c r="A21" s="300">
        <v>51</v>
      </c>
      <c r="B21" s="146" t="str">
        <f t="shared" si="1"/>
        <v>Pomoći EU</v>
      </c>
      <c r="C21" s="301">
        <v>3211</v>
      </c>
      <c r="D21" s="146" t="str">
        <f t="shared" si="2"/>
        <v>Službena putovanja</v>
      </c>
      <c r="E21" s="302" t="s">
        <v>1026</v>
      </c>
      <c r="F21" s="146" t="str">
        <f t="shared" si="3"/>
        <v>Obzor 2020  CEF - Poticanje istraživanja Connecting Europe Facilites i Norveške zaklade za znanost</v>
      </c>
      <c r="G21" s="303">
        <f>477025-152070</f>
        <v>324955</v>
      </c>
      <c r="H21" s="303"/>
      <c r="I21" s="303"/>
      <c r="J21" s="280" t="s">
        <v>2342</v>
      </c>
      <c r="K21" s="283" t="s">
        <v>2343</v>
      </c>
      <c r="L21" s="283" t="s">
        <v>2355</v>
      </c>
      <c r="M21" s="286" t="s">
        <v>2363</v>
      </c>
      <c r="N21" s="288" t="s">
        <v>2371</v>
      </c>
      <c r="P21" s="141" t="str">
        <f t="shared" si="4"/>
        <v>321</v>
      </c>
      <c r="Q21" s="141" t="str">
        <f t="shared" si="5"/>
        <v>32</v>
      </c>
      <c r="R21" s="141">
        <v>71</v>
      </c>
      <c r="S21" s="141" t="s">
        <v>180</v>
      </c>
      <c r="U21" s="141">
        <v>3227</v>
      </c>
      <c r="V21" s="141" t="s">
        <v>125</v>
      </c>
      <c r="X21" s="141" t="str">
        <f t="shared" si="6"/>
        <v>32</v>
      </c>
      <c r="Y21" s="141" t="str">
        <f t="shared" si="7"/>
        <v>322</v>
      </c>
      <c r="AA21" s="141" t="s">
        <v>1472</v>
      </c>
      <c r="AB21" s="141" t="s">
        <v>1473</v>
      </c>
    </row>
    <row r="22" spans="1:28">
      <c r="A22" s="300">
        <v>51</v>
      </c>
      <c r="B22" s="146" t="str">
        <f t="shared" si="1"/>
        <v>Pomoći EU</v>
      </c>
      <c r="C22" s="301">
        <v>3211</v>
      </c>
      <c r="D22" s="146" t="str">
        <f t="shared" si="2"/>
        <v>Službena putovanja</v>
      </c>
      <c r="E22" s="302" t="s">
        <v>827</v>
      </c>
      <c r="F22" s="146" t="str">
        <f t="shared" si="3"/>
        <v>NOVI PODPROJEKT</v>
      </c>
      <c r="G22" s="303">
        <v>100000</v>
      </c>
      <c r="H22" s="303">
        <v>100000</v>
      </c>
      <c r="I22" s="303">
        <v>100000</v>
      </c>
      <c r="J22" s="304" t="s">
        <v>2372</v>
      </c>
      <c r="K22" s="308" t="s">
        <v>2352</v>
      </c>
      <c r="L22" s="308" t="s">
        <v>2373</v>
      </c>
      <c r="M22" s="201"/>
      <c r="N22" s="201"/>
      <c r="P22" s="141" t="str">
        <f t="shared" si="4"/>
        <v>321</v>
      </c>
      <c r="Q22" s="141" t="str">
        <f t="shared" si="5"/>
        <v>32</v>
      </c>
      <c r="R22" s="141">
        <v>81</v>
      </c>
      <c r="S22" s="141" t="s">
        <v>63</v>
      </c>
      <c r="U22" s="141">
        <v>3231</v>
      </c>
      <c r="V22" s="141" t="s">
        <v>109</v>
      </c>
      <c r="X22" s="141" t="str">
        <f t="shared" si="6"/>
        <v>32</v>
      </c>
      <c r="Y22" s="141" t="str">
        <f t="shared" si="7"/>
        <v>323</v>
      </c>
      <c r="AA22" s="141" t="s">
        <v>1474</v>
      </c>
      <c r="AB22" s="141" t="s">
        <v>1475</v>
      </c>
    </row>
    <row r="23" spans="1:28">
      <c r="A23" s="300">
        <v>51</v>
      </c>
      <c r="B23" s="146" t="str">
        <f t="shared" si="1"/>
        <v>Pomoći EU</v>
      </c>
      <c r="C23" s="301">
        <v>3237</v>
      </c>
      <c r="D23" s="146" t="str">
        <f t="shared" si="2"/>
        <v>Intelektualne i osobne usluge</v>
      </c>
      <c r="E23" s="302" t="s">
        <v>827</v>
      </c>
      <c r="F23" s="146" t="str">
        <f t="shared" si="3"/>
        <v>NOVI PODPROJEKT</v>
      </c>
      <c r="G23" s="303">
        <v>52070</v>
      </c>
      <c r="H23" s="303">
        <v>52070</v>
      </c>
      <c r="I23" s="303">
        <v>52070</v>
      </c>
      <c r="J23" s="304" t="s">
        <v>2372</v>
      </c>
      <c r="K23" s="308" t="s">
        <v>2352</v>
      </c>
      <c r="L23" s="308" t="s">
        <v>2373</v>
      </c>
      <c r="M23" s="201"/>
      <c r="N23" s="201"/>
      <c r="P23" s="141" t="str">
        <f t="shared" si="4"/>
        <v>323</v>
      </c>
      <c r="Q23" s="141" t="str">
        <f t="shared" si="5"/>
        <v>32</v>
      </c>
      <c r="R23" s="141">
        <v>83</v>
      </c>
      <c r="S23" s="141" t="s">
        <v>1540</v>
      </c>
      <c r="U23" s="141">
        <v>3232</v>
      </c>
      <c r="V23" s="141" t="s">
        <v>96</v>
      </c>
      <c r="X23" s="141" t="str">
        <f t="shared" si="6"/>
        <v>32</v>
      </c>
      <c r="Y23" s="141" t="str">
        <f t="shared" si="7"/>
        <v>323</v>
      </c>
      <c r="AA23" s="141" t="s">
        <v>1476</v>
      </c>
      <c r="AB23" s="141" t="s">
        <v>1477</v>
      </c>
    </row>
    <row r="24" spans="1:28">
      <c r="A24" s="300"/>
      <c r="B24" s="146" t="str">
        <f t="shared" si="1"/>
        <v/>
      </c>
      <c r="C24" s="151"/>
      <c r="D24" s="146" t="str">
        <f t="shared" si="2"/>
        <v/>
      </c>
      <c r="E24" s="186"/>
      <c r="F24" s="146" t="str">
        <f t="shared" si="3"/>
        <v/>
      </c>
      <c r="G24" s="185"/>
      <c r="H24" s="185"/>
      <c r="I24" s="185"/>
      <c r="J24" s="201"/>
      <c r="K24" s="200"/>
      <c r="L24" s="200"/>
      <c r="M24" s="201"/>
      <c r="N24" s="201"/>
      <c r="P24" s="141" t="str">
        <f t="shared" si="4"/>
        <v/>
      </c>
      <c r="Q24" s="141" t="str">
        <f t="shared" si="5"/>
        <v/>
      </c>
      <c r="U24" s="141">
        <v>3233</v>
      </c>
      <c r="V24" s="141" t="s">
        <v>84</v>
      </c>
      <c r="X24" s="141" t="str">
        <f t="shared" si="6"/>
        <v>32</v>
      </c>
      <c r="Y24" s="141" t="str">
        <f t="shared" si="7"/>
        <v>323</v>
      </c>
      <c r="AA24" s="141" t="s">
        <v>1478</v>
      </c>
      <c r="AB24" s="141" t="s">
        <v>1479</v>
      </c>
    </row>
    <row r="25" spans="1:28">
      <c r="A25" s="300"/>
      <c r="B25" s="146" t="str">
        <f t="shared" si="1"/>
        <v/>
      </c>
      <c r="C25" s="151"/>
      <c r="D25" s="146" t="str">
        <f t="shared" si="2"/>
        <v/>
      </c>
      <c r="E25" s="186"/>
      <c r="F25" s="146" t="str">
        <f t="shared" si="3"/>
        <v/>
      </c>
      <c r="G25" s="185"/>
      <c r="H25" s="185"/>
      <c r="I25" s="185"/>
      <c r="J25" s="201"/>
      <c r="K25" s="200"/>
      <c r="L25" s="200"/>
      <c r="M25" s="201"/>
      <c r="N25" s="201"/>
      <c r="P25" s="141" t="str">
        <f t="shared" si="4"/>
        <v/>
      </c>
      <c r="Q25" s="141" t="str">
        <f t="shared" si="5"/>
        <v/>
      </c>
      <c r="U25" s="141">
        <v>3234</v>
      </c>
      <c r="V25" s="141" t="s">
        <v>97</v>
      </c>
      <c r="X25" s="141" t="str">
        <f t="shared" si="6"/>
        <v>32</v>
      </c>
      <c r="Y25" s="141" t="str">
        <f t="shared" si="7"/>
        <v>323</v>
      </c>
      <c r="AA25" s="141" t="s">
        <v>1480</v>
      </c>
      <c r="AB25" s="141" t="s">
        <v>1481</v>
      </c>
    </row>
    <row r="26" spans="1:28">
      <c r="A26" s="300"/>
      <c r="B26" s="146" t="str">
        <f t="shared" si="1"/>
        <v/>
      </c>
      <c r="C26" s="151"/>
      <c r="D26" s="146" t="str">
        <f t="shared" si="2"/>
        <v/>
      </c>
      <c r="E26" s="186"/>
      <c r="F26" s="146" t="str">
        <f t="shared" si="3"/>
        <v/>
      </c>
      <c r="G26" s="185"/>
      <c r="H26" s="185"/>
      <c r="I26" s="185"/>
      <c r="J26" s="201"/>
      <c r="K26" s="200"/>
      <c r="L26" s="200"/>
      <c r="M26" s="201"/>
      <c r="N26" s="201"/>
      <c r="P26" s="141" t="str">
        <f t="shared" si="4"/>
        <v/>
      </c>
      <c r="Q26" s="141" t="str">
        <f t="shared" si="5"/>
        <v/>
      </c>
      <c r="U26" s="141">
        <v>3235</v>
      </c>
      <c r="V26" s="141" t="s">
        <v>117</v>
      </c>
      <c r="X26" s="141" t="str">
        <f t="shared" si="6"/>
        <v>32</v>
      </c>
      <c r="Y26" s="141" t="str">
        <f t="shared" si="7"/>
        <v>323</v>
      </c>
      <c r="AA26" s="141" t="s">
        <v>1482</v>
      </c>
      <c r="AB26" s="141" t="s">
        <v>1483</v>
      </c>
    </row>
    <row r="27" spans="1:28">
      <c r="A27" s="300"/>
      <c r="B27" s="146" t="str">
        <f t="shared" si="1"/>
        <v/>
      </c>
      <c r="C27" s="151"/>
      <c r="D27" s="146" t="str">
        <f t="shared" si="2"/>
        <v/>
      </c>
      <c r="E27" s="186"/>
      <c r="F27" s="146" t="str">
        <f t="shared" si="3"/>
        <v/>
      </c>
      <c r="G27" s="185"/>
      <c r="H27" s="185"/>
      <c r="I27" s="185"/>
      <c r="J27" s="201"/>
      <c r="K27" s="200"/>
      <c r="L27" s="200"/>
      <c r="M27" s="201"/>
      <c r="N27" s="201"/>
      <c r="P27" s="141" t="str">
        <f t="shared" si="4"/>
        <v/>
      </c>
      <c r="Q27" s="141" t="str">
        <f t="shared" si="5"/>
        <v/>
      </c>
      <c r="U27" s="141">
        <v>3236</v>
      </c>
      <c r="V27" s="141" t="s">
        <v>60</v>
      </c>
      <c r="X27" s="141" t="str">
        <f t="shared" si="6"/>
        <v>32</v>
      </c>
      <c r="Y27" s="141" t="str">
        <f t="shared" si="7"/>
        <v>323</v>
      </c>
      <c r="AA27" s="141" t="s">
        <v>1484</v>
      </c>
      <c r="AB27" s="141" t="s">
        <v>1485</v>
      </c>
    </row>
    <row r="28" spans="1:28">
      <c r="A28" s="300"/>
      <c r="B28" s="146" t="str">
        <f t="shared" si="1"/>
        <v/>
      </c>
      <c r="C28" s="151"/>
      <c r="D28" s="146" t="str">
        <f t="shared" si="2"/>
        <v/>
      </c>
      <c r="E28" s="186"/>
      <c r="F28" s="146" t="str">
        <f t="shared" si="3"/>
        <v/>
      </c>
      <c r="G28" s="185"/>
      <c r="H28" s="185"/>
      <c r="I28" s="185"/>
      <c r="J28" s="201"/>
      <c r="K28" s="200"/>
      <c r="L28" s="200"/>
      <c r="M28" s="201"/>
      <c r="N28" s="201"/>
      <c r="P28" s="141" t="str">
        <f t="shared" si="4"/>
        <v/>
      </c>
      <c r="Q28" s="141" t="str">
        <f t="shared" si="5"/>
        <v/>
      </c>
      <c r="U28" s="141">
        <v>3237</v>
      </c>
      <c r="V28" s="141" t="s">
        <v>73</v>
      </c>
      <c r="X28" s="141" t="str">
        <f t="shared" si="6"/>
        <v>32</v>
      </c>
      <c r="Y28" s="141" t="str">
        <f t="shared" si="7"/>
        <v>323</v>
      </c>
      <c r="AA28" s="141" t="s">
        <v>1486</v>
      </c>
      <c r="AB28" s="141" t="s">
        <v>1487</v>
      </c>
    </row>
    <row r="29" spans="1:28">
      <c r="A29" s="300"/>
      <c r="B29" s="146" t="str">
        <f t="shared" si="1"/>
        <v/>
      </c>
      <c r="C29" s="151"/>
      <c r="D29" s="146" t="str">
        <f t="shared" si="2"/>
        <v/>
      </c>
      <c r="E29" s="186"/>
      <c r="F29" s="146" t="str">
        <f t="shared" si="3"/>
        <v/>
      </c>
      <c r="G29" s="185"/>
      <c r="H29" s="185"/>
      <c r="I29" s="185"/>
      <c r="J29" s="201"/>
      <c r="K29" s="200"/>
      <c r="L29" s="200"/>
      <c r="M29" s="201"/>
      <c r="N29" s="201"/>
      <c r="P29" s="141" t="str">
        <f t="shared" si="4"/>
        <v/>
      </c>
      <c r="Q29" s="141" t="str">
        <f t="shared" si="5"/>
        <v/>
      </c>
      <c r="U29" s="141">
        <v>3238</v>
      </c>
      <c r="V29" s="141" t="s">
        <v>110</v>
      </c>
      <c r="X29" s="141" t="str">
        <f t="shared" si="6"/>
        <v>32</v>
      </c>
      <c r="Y29" s="141" t="str">
        <f t="shared" si="7"/>
        <v>323</v>
      </c>
      <c r="AA29" s="141" t="s">
        <v>1488</v>
      </c>
      <c r="AB29" s="141" t="s">
        <v>1489</v>
      </c>
    </row>
    <row r="30" spans="1:28">
      <c r="A30" s="300"/>
      <c r="B30" s="146" t="str">
        <f t="shared" si="1"/>
        <v/>
      </c>
      <c r="C30" s="151"/>
      <c r="D30" s="146" t="str">
        <f t="shared" si="2"/>
        <v/>
      </c>
      <c r="E30" s="186"/>
      <c r="F30" s="146" t="str">
        <f t="shared" si="3"/>
        <v/>
      </c>
      <c r="G30" s="185"/>
      <c r="H30" s="185"/>
      <c r="I30" s="185"/>
      <c r="J30" s="201"/>
      <c r="K30" s="200"/>
      <c r="L30" s="200"/>
      <c r="M30" s="201"/>
      <c r="N30" s="201"/>
      <c r="P30" s="141" t="str">
        <f t="shared" si="4"/>
        <v/>
      </c>
      <c r="Q30" s="141" t="str">
        <f t="shared" si="5"/>
        <v/>
      </c>
      <c r="U30" s="141">
        <v>3239</v>
      </c>
      <c r="V30" s="141" t="s">
        <v>90</v>
      </c>
      <c r="X30" s="141" t="str">
        <f t="shared" si="6"/>
        <v>32</v>
      </c>
      <c r="Y30" s="141" t="str">
        <f t="shared" si="7"/>
        <v>323</v>
      </c>
      <c r="AA30" s="141" t="s">
        <v>1490</v>
      </c>
      <c r="AB30" s="141" t="s">
        <v>1491</v>
      </c>
    </row>
    <row r="31" spans="1:28">
      <c r="A31" s="300"/>
      <c r="B31" s="146" t="str">
        <f t="shared" si="1"/>
        <v/>
      </c>
      <c r="C31" s="151"/>
      <c r="D31" s="146" t="str">
        <f t="shared" si="2"/>
        <v/>
      </c>
      <c r="E31" s="186"/>
      <c r="F31" s="146" t="str">
        <f t="shared" si="3"/>
        <v/>
      </c>
      <c r="G31" s="185"/>
      <c r="H31" s="185"/>
      <c r="I31" s="185"/>
      <c r="J31" s="201"/>
      <c r="K31" s="200"/>
      <c r="L31" s="200"/>
      <c r="M31" s="201"/>
      <c r="N31" s="201"/>
      <c r="P31" s="141" t="str">
        <f t="shared" si="4"/>
        <v/>
      </c>
      <c r="Q31" s="141" t="str">
        <f t="shared" si="5"/>
        <v/>
      </c>
      <c r="U31" s="141">
        <v>3241</v>
      </c>
      <c r="V31" s="141" t="s">
        <v>87</v>
      </c>
      <c r="X31" s="141" t="str">
        <f t="shared" si="6"/>
        <v>32</v>
      </c>
      <c r="Y31" s="141" t="str">
        <f t="shared" si="7"/>
        <v>324</v>
      </c>
      <c r="AA31" s="141" t="s">
        <v>1584</v>
      </c>
      <c r="AB31" s="141" t="s">
        <v>1585</v>
      </c>
    </row>
    <row r="32" spans="1:28">
      <c r="A32" s="300"/>
      <c r="B32" s="146" t="str">
        <f t="shared" si="1"/>
        <v/>
      </c>
      <c r="C32" s="151"/>
      <c r="D32" s="146" t="str">
        <f t="shared" si="2"/>
        <v/>
      </c>
      <c r="E32" s="186"/>
      <c r="F32" s="146" t="str">
        <f t="shared" si="3"/>
        <v/>
      </c>
      <c r="G32" s="185"/>
      <c r="H32" s="185"/>
      <c r="I32" s="185"/>
      <c r="J32" s="201"/>
      <c r="K32" s="200"/>
      <c r="L32" s="200"/>
      <c r="M32" s="201"/>
      <c r="N32" s="201"/>
      <c r="P32" s="141" t="str">
        <f t="shared" si="4"/>
        <v/>
      </c>
      <c r="Q32" s="141" t="str">
        <f t="shared" si="5"/>
        <v/>
      </c>
      <c r="U32" s="141">
        <v>3291</v>
      </c>
      <c r="V32" s="141" t="s">
        <v>88</v>
      </c>
      <c r="X32" s="141" t="str">
        <f t="shared" si="6"/>
        <v>32</v>
      </c>
      <c r="Y32" s="141" t="str">
        <f t="shared" si="7"/>
        <v>329</v>
      </c>
      <c r="AA32" s="141" t="s">
        <v>1586</v>
      </c>
      <c r="AB32" s="141" t="s">
        <v>1587</v>
      </c>
    </row>
    <row r="33" spans="1:28">
      <c r="A33" s="300"/>
      <c r="B33" s="146" t="str">
        <f t="shared" si="1"/>
        <v/>
      </c>
      <c r="C33" s="151"/>
      <c r="D33" s="146" t="str">
        <f t="shared" si="2"/>
        <v/>
      </c>
      <c r="E33" s="186"/>
      <c r="F33" s="146" t="str">
        <f t="shared" si="3"/>
        <v/>
      </c>
      <c r="G33" s="185"/>
      <c r="H33" s="185"/>
      <c r="I33" s="185"/>
      <c r="J33" s="201"/>
      <c r="K33" s="200"/>
      <c r="L33" s="200"/>
      <c r="M33" s="201"/>
      <c r="N33" s="201"/>
      <c r="P33" s="141" t="str">
        <f t="shared" si="4"/>
        <v/>
      </c>
      <c r="Q33" s="141" t="str">
        <f t="shared" si="5"/>
        <v/>
      </c>
      <c r="U33" s="141">
        <v>3292</v>
      </c>
      <c r="V33" s="141" t="s">
        <v>81</v>
      </c>
      <c r="X33" s="141" t="str">
        <f t="shared" si="6"/>
        <v>32</v>
      </c>
      <c r="Y33" s="141" t="str">
        <f t="shared" si="7"/>
        <v>329</v>
      </c>
      <c r="AA33" s="141" t="s">
        <v>1492</v>
      </c>
      <c r="AB33" s="141" t="s">
        <v>1493</v>
      </c>
    </row>
    <row r="34" spans="1:28">
      <c r="A34" s="300"/>
      <c r="B34" s="146" t="str">
        <f t="shared" si="1"/>
        <v/>
      </c>
      <c r="C34" s="151"/>
      <c r="D34" s="146" t="str">
        <f t="shared" si="2"/>
        <v/>
      </c>
      <c r="E34" s="186"/>
      <c r="F34" s="146" t="str">
        <f t="shared" si="3"/>
        <v/>
      </c>
      <c r="G34" s="185"/>
      <c r="H34" s="185"/>
      <c r="I34" s="185"/>
      <c r="J34" s="201"/>
      <c r="K34" s="200"/>
      <c r="L34" s="200"/>
      <c r="M34" s="201"/>
      <c r="N34" s="201"/>
      <c r="P34" s="141" t="str">
        <f t="shared" si="4"/>
        <v/>
      </c>
      <c r="Q34" s="141" t="str">
        <f t="shared" si="5"/>
        <v/>
      </c>
      <c r="U34" s="141">
        <v>3293</v>
      </c>
      <c r="V34" s="141" t="s">
        <v>91</v>
      </c>
      <c r="X34" s="141" t="str">
        <f t="shared" si="6"/>
        <v>32</v>
      </c>
      <c r="Y34" s="141" t="str">
        <f t="shared" si="7"/>
        <v>329</v>
      </c>
      <c r="AA34" s="141" t="s">
        <v>1494</v>
      </c>
      <c r="AB34" s="141" t="s">
        <v>1495</v>
      </c>
    </row>
    <row r="35" spans="1:28">
      <c r="A35" s="300"/>
      <c r="B35" s="146" t="str">
        <f t="shared" si="1"/>
        <v/>
      </c>
      <c r="C35" s="151"/>
      <c r="D35" s="146" t="str">
        <f t="shared" si="2"/>
        <v/>
      </c>
      <c r="E35" s="186"/>
      <c r="F35" s="146" t="str">
        <f t="shared" si="3"/>
        <v/>
      </c>
      <c r="G35" s="185"/>
      <c r="H35" s="185"/>
      <c r="I35" s="185"/>
      <c r="J35" s="201"/>
      <c r="K35" s="200"/>
      <c r="L35" s="200"/>
      <c r="M35" s="201"/>
      <c r="N35" s="201"/>
      <c r="P35" s="141" t="str">
        <f t="shared" si="4"/>
        <v/>
      </c>
      <c r="Q35" s="141" t="str">
        <f t="shared" si="5"/>
        <v/>
      </c>
      <c r="U35" s="141">
        <v>3293</v>
      </c>
      <c r="V35" s="141" t="s">
        <v>138</v>
      </c>
      <c r="X35" s="141" t="str">
        <f t="shared" si="6"/>
        <v>32</v>
      </c>
      <c r="Y35" s="141" t="str">
        <f t="shared" si="7"/>
        <v>329</v>
      </c>
      <c r="AA35" s="141" t="s">
        <v>1496</v>
      </c>
      <c r="AB35" s="141" t="s">
        <v>1497</v>
      </c>
    </row>
    <row r="36" spans="1:28">
      <c r="A36" s="300"/>
      <c r="B36" s="146" t="str">
        <f t="shared" si="1"/>
        <v/>
      </c>
      <c r="C36" s="151"/>
      <c r="D36" s="146" t="str">
        <f t="shared" si="2"/>
        <v/>
      </c>
      <c r="E36" s="186"/>
      <c r="F36" s="146" t="str">
        <f t="shared" si="3"/>
        <v/>
      </c>
      <c r="G36" s="185"/>
      <c r="H36" s="185"/>
      <c r="I36" s="185"/>
      <c r="J36" s="201"/>
      <c r="K36" s="200"/>
      <c r="L36" s="200"/>
      <c r="M36" s="201"/>
      <c r="N36" s="201"/>
      <c r="P36" s="141" t="str">
        <f t="shared" si="4"/>
        <v/>
      </c>
      <c r="Q36" s="141" t="str">
        <f t="shared" si="5"/>
        <v/>
      </c>
      <c r="U36" s="141">
        <v>3294</v>
      </c>
      <c r="V36" s="141" t="s">
        <v>92</v>
      </c>
      <c r="X36" s="141" t="str">
        <f t="shared" si="6"/>
        <v>32</v>
      </c>
      <c r="Y36" s="141" t="str">
        <f t="shared" si="7"/>
        <v>329</v>
      </c>
      <c r="AA36" s="141" t="s">
        <v>1498</v>
      </c>
      <c r="AB36" s="141" t="s">
        <v>348</v>
      </c>
    </row>
    <row r="37" spans="1:28">
      <c r="A37" s="300"/>
      <c r="B37" s="146" t="str">
        <f t="shared" si="1"/>
        <v/>
      </c>
      <c r="C37" s="151"/>
      <c r="D37" s="146" t="str">
        <f t="shared" si="2"/>
        <v/>
      </c>
      <c r="E37" s="186"/>
      <c r="F37" s="146" t="str">
        <f t="shared" si="3"/>
        <v/>
      </c>
      <c r="G37" s="185"/>
      <c r="H37" s="185"/>
      <c r="I37" s="185"/>
      <c r="J37" s="201"/>
      <c r="K37" s="200"/>
      <c r="L37" s="200"/>
      <c r="M37" s="201"/>
      <c r="N37" s="201"/>
      <c r="P37" s="141" t="str">
        <f t="shared" si="4"/>
        <v/>
      </c>
      <c r="Q37" s="141" t="str">
        <f t="shared" si="5"/>
        <v/>
      </c>
      <c r="U37" s="141">
        <v>3295</v>
      </c>
      <c r="V37" s="141" t="s">
        <v>61</v>
      </c>
      <c r="X37" s="141" t="str">
        <f t="shared" si="6"/>
        <v>32</v>
      </c>
      <c r="Y37" s="141" t="str">
        <f t="shared" si="7"/>
        <v>329</v>
      </c>
      <c r="AA37" s="141" t="s">
        <v>1499</v>
      </c>
      <c r="AB37" s="141" t="s">
        <v>1500</v>
      </c>
    </row>
    <row r="38" spans="1:28">
      <c r="A38" s="300"/>
      <c r="B38" s="146" t="str">
        <f t="shared" si="1"/>
        <v/>
      </c>
      <c r="C38" s="151"/>
      <c r="D38" s="146" t="str">
        <f t="shared" si="2"/>
        <v/>
      </c>
      <c r="E38" s="186"/>
      <c r="F38" s="146" t="str">
        <f t="shared" si="3"/>
        <v/>
      </c>
      <c r="G38" s="185"/>
      <c r="H38" s="185"/>
      <c r="I38" s="185"/>
      <c r="J38" s="201"/>
      <c r="K38" s="200"/>
      <c r="L38" s="200"/>
      <c r="M38" s="201"/>
      <c r="N38" s="201"/>
      <c r="P38" s="141" t="str">
        <f t="shared" si="4"/>
        <v/>
      </c>
      <c r="Q38" s="141" t="str">
        <f t="shared" si="5"/>
        <v/>
      </c>
      <c r="U38" s="141">
        <v>3296</v>
      </c>
      <c r="V38" s="141" t="s">
        <v>155</v>
      </c>
      <c r="X38" s="141" t="str">
        <f t="shared" si="6"/>
        <v>32</v>
      </c>
      <c r="Y38" s="141" t="str">
        <f t="shared" si="7"/>
        <v>329</v>
      </c>
      <c r="AA38" s="141" t="s">
        <v>1501</v>
      </c>
      <c r="AB38" s="141" t="s">
        <v>1502</v>
      </c>
    </row>
    <row r="39" spans="1:28">
      <c r="A39" s="300"/>
      <c r="B39" s="146" t="str">
        <f t="shared" si="1"/>
        <v/>
      </c>
      <c r="C39" s="151"/>
      <c r="D39" s="146" t="str">
        <f t="shared" si="2"/>
        <v/>
      </c>
      <c r="E39" s="186"/>
      <c r="F39" s="146" t="str">
        <f t="shared" si="3"/>
        <v/>
      </c>
      <c r="G39" s="185"/>
      <c r="H39" s="185"/>
      <c r="I39" s="185"/>
      <c r="J39" s="201"/>
      <c r="K39" s="200"/>
      <c r="L39" s="200"/>
      <c r="M39" s="201"/>
      <c r="N39" s="201"/>
      <c r="P39" s="141" t="str">
        <f t="shared" si="4"/>
        <v/>
      </c>
      <c r="Q39" s="141" t="str">
        <f t="shared" si="5"/>
        <v/>
      </c>
      <c r="U39" s="141">
        <v>3299</v>
      </c>
      <c r="V39" s="141" t="s">
        <v>64</v>
      </c>
      <c r="X39" s="141" t="str">
        <f t="shared" si="6"/>
        <v>32</v>
      </c>
      <c r="Y39" s="141" t="str">
        <f t="shared" si="7"/>
        <v>329</v>
      </c>
      <c r="AA39" s="141" t="s">
        <v>1503</v>
      </c>
      <c r="AB39" s="141" t="s">
        <v>1504</v>
      </c>
    </row>
    <row r="40" spans="1:28">
      <c r="A40" s="300"/>
      <c r="B40" s="146" t="str">
        <f t="shared" si="1"/>
        <v/>
      </c>
      <c r="C40" s="151"/>
      <c r="D40" s="146" t="str">
        <f t="shared" si="2"/>
        <v/>
      </c>
      <c r="E40" s="186"/>
      <c r="F40" s="146" t="str">
        <f t="shared" si="3"/>
        <v/>
      </c>
      <c r="G40" s="185"/>
      <c r="H40" s="185"/>
      <c r="I40" s="185"/>
      <c r="J40" s="201"/>
      <c r="K40" s="200"/>
      <c r="L40" s="200"/>
      <c r="M40" s="201"/>
      <c r="N40" s="201"/>
      <c r="P40" s="141" t="str">
        <f t="shared" si="4"/>
        <v/>
      </c>
      <c r="Q40" s="141" t="str">
        <f t="shared" si="5"/>
        <v/>
      </c>
      <c r="U40" s="141">
        <v>3411</v>
      </c>
      <c r="V40" s="141" t="s">
        <v>193</v>
      </c>
      <c r="X40" s="141" t="str">
        <f t="shared" si="6"/>
        <v>34</v>
      </c>
      <c r="Y40" s="141" t="str">
        <f t="shared" si="7"/>
        <v>341</v>
      </c>
      <c r="AA40" s="141" t="s">
        <v>1505</v>
      </c>
      <c r="AB40" s="141" t="s">
        <v>1506</v>
      </c>
    </row>
    <row r="41" spans="1:28">
      <c r="A41" s="300"/>
      <c r="B41" s="146" t="str">
        <f t="shared" si="1"/>
        <v/>
      </c>
      <c r="C41" s="151"/>
      <c r="D41" s="146" t="str">
        <f t="shared" si="2"/>
        <v/>
      </c>
      <c r="E41" s="186"/>
      <c r="F41" s="146" t="str">
        <f t="shared" si="3"/>
        <v/>
      </c>
      <c r="G41" s="185"/>
      <c r="H41" s="185"/>
      <c r="I41" s="185"/>
      <c r="J41" s="201"/>
      <c r="K41" s="200"/>
      <c r="L41" s="200"/>
      <c r="M41" s="201"/>
      <c r="N41" s="201"/>
      <c r="P41" s="141" t="str">
        <f t="shared" si="4"/>
        <v/>
      </c>
      <c r="Q41" s="141" t="str">
        <f t="shared" si="5"/>
        <v/>
      </c>
      <c r="U41" s="141">
        <v>3422</v>
      </c>
      <c r="V41" s="141" t="s">
        <v>156</v>
      </c>
      <c r="X41" s="141" t="str">
        <f t="shared" si="6"/>
        <v>34</v>
      </c>
      <c r="Y41" s="141" t="str">
        <f t="shared" si="7"/>
        <v>342</v>
      </c>
      <c r="AA41" s="141" t="s">
        <v>1507</v>
      </c>
      <c r="AB41" s="141" t="s">
        <v>1508</v>
      </c>
    </row>
    <row r="42" spans="1:28">
      <c r="A42" s="300"/>
      <c r="B42" s="146" t="str">
        <f t="shared" si="1"/>
        <v/>
      </c>
      <c r="C42" s="151"/>
      <c r="D42" s="146" t="str">
        <f t="shared" si="2"/>
        <v/>
      </c>
      <c r="E42" s="186"/>
      <c r="F42" s="146" t="str">
        <f t="shared" si="3"/>
        <v/>
      </c>
      <c r="G42" s="185"/>
      <c r="H42" s="185"/>
      <c r="I42" s="185"/>
      <c r="J42" s="201"/>
      <c r="K42" s="200"/>
      <c r="L42" s="200"/>
      <c r="M42" s="201"/>
      <c r="N42" s="201"/>
      <c r="P42" s="141" t="str">
        <f t="shared" si="4"/>
        <v/>
      </c>
      <c r="Q42" s="141" t="str">
        <f t="shared" si="5"/>
        <v/>
      </c>
      <c r="U42" s="141">
        <v>3423</v>
      </c>
      <c r="V42" s="141" t="s">
        <v>156</v>
      </c>
      <c r="X42" s="141" t="str">
        <f t="shared" si="6"/>
        <v>34</v>
      </c>
      <c r="Y42" s="141" t="str">
        <f t="shared" si="7"/>
        <v>342</v>
      </c>
      <c r="AA42" s="141" t="s">
        <v>828</v>
      </c>
      <c r="AB42" s="141" t="s">
        <v>829</v>
      </c>
    </row>
    <row r="43" spans="1:28">
      <c r="A43" s="300"/>
      <c r="B43" s="146" t="str">
        <f t="shared" si="1"/>
        <v/>
      </c>
      <c r="C43" s="151"/>
      <c r="D43" s="146" t="str">
        <f t="shared" si="2"/>
        <v/>
      </c>
      <c r="E43" s="186"/>
      <c r="F43" s="146" t="str">
        <f t="shared" si="3"/>
        <v/>
      </c>
      <c r="G43" s="185"/>
      <c r="H43" s="185"/>
      <c r="I43" s="185"/>
      <c r="J43" s="201"/>
      <c r="K43" s="200"/>
      <c r="L43" s="200"/>
      <c r="M43" s="201"/>
      <c r="N43" s="201"/>
      <c r="P43" s="141" t="str">
        <f t="shared" si="4"/>
        <v/>
      </c>
      <c r="Q43" s="141" t="str">
        <f t="shared" si="5"/>
        <v/>
      </c>
      <c r="U43" s="141">
        <v>3427</v>
      </c>
      <c r="V43" s="141" t="s">
        <v>195</v>
      </c>
      <c r="X43" s="141" t="str">
        <f t="shared" si="6"/>
        <v>34</v>
      </c>
      <c r="Y43" s="141" t="str">
        <f t="shared" si="7"/>
        <v>342</v>
      </c>
      <c r="AA43" s="141" t="s">
        <v>830</v>
      </c>
      <c r="AB43" s="141" t="s">
        <v>831</v>
      </c>
    </row>
    <row r="44" spans="1:28">
      <c r="A44" s="300"/>
      <c r="B44" s="146" t="str">
        <f t="shared" si="1"/>
        <v/>
      </c>
      <c r="C44" s="151"/>
      <c r="D44" s="146" t="str">
        <f t="shared" si="2"/>
        <v/>
      </c>
      <c r="E44" s="186"/>
      <c r="F44" s="146" t="str">
        <f t="shared" si="3"/>
        <v/>
      </c>
      <c r="G44" s="185"/>
      <c r="H44" s="185"/>
      <c r="I44" s="185"/>
      <c r="J44" s="201"/>
      <c r="K44" s="200"/>
      <c r="L44" s="200"/>
      <c r="M44" s="201"/>
      <c r="N44" s="201"/>
      <c r="P44" s="141" t="str">
        <f t="shared" si="4"/>
        <v/>
      </c>
      <c r="Q44" s="141" t="str">
        <f t="shared" si="5"/>
        <v/>
      </c>
      <c r="U44" s="141">
        <v>3431</v>
      </c>
      <c r="V44" s="141" t="s">
        <v>89</v>
      </c>
      <c r="X44" s="141" t="str">
        <f t="shared" si="6"/>
        <v>34</v>
      </c>
      <c r="Y44" s="141" t="str">
        <f t="shared" si="7"/>
        <v>343</v>
      </c>
      <c r="AA44" s="141" t="s">
        <v>832</v>
      </c>
      <c r="AB44" s="141" t="s">
        <v>833</v>
      </c>
    </row>
    <row r="45" spans="1:28">
      <c r="A45" s="300"/>
      <c r="B45" s="146" t="str">
        <f t="shared" si="1"/>
        <v/>
      </c>
      <c r="C45" s="151"/>
      <c r="D45" s="146" t="str">
        <f t="shared" si="2"/>
        <v/>
      </c>
      <c r="E45" s="186"/>
      <c r="F45" s="146" t="str">
        <f t="shared" si="3"/>
        <v/>
      </c>
      <c r="G45" s="185"/>
      <c r="H45" s="185"/>
      <c r="I45" s="185"/>
      <c r="J45" s="201"/>
      <c r="K45" s="200"/>
      <c r="L45" s="200"/>
      <c r="M45" s="201"/>
      <c r="N45" s="201"/>
      <c r="P45" s="141" t="str">
        <f t="shared" si="4"/>
        <v/>
      </c>
      <c r="Q45" s="141" t="str">
        <f t="shared" si="5"/>
        <v/>
      </c>
      <c r="U45" s="141">
        <v>3432</v>
      </c>
      <c r="V45" s="141" t="s">
        <v>105</v>
      </c>
      <c r="X45" s="141" t="str">
        <f t="shared" si="6"/>
        <v>34</v>
      </c>
      <c r="Y45" s="141" t="str">
        <f t="shared" si="7"/>
        <v>343</v>
      </c>
      <c r="AA45" s="141" t="s">
        <v>834</v>
      </c>
      <c r="AB45" s="141" t="s">
        <v>835</v>
      </c>
    </row>
    <row r="46" spans="1:28">
      <c r="A46" s="300"/>
      <c r="B46" s="146" t="str">
        <f t="shared" si="1"/>
        <v/>
      </c>
      <c r="C46" s="151"/>
      <c r="D46" s="146" t="str">
        <f t="shared" si="2"/>
        <v/>
      </c>
      <c r="E46" s="186"/>
      <c r="F46" s="146" t="str">
        <f t="shared" si="3"/>
        <v/>
      </c>
      <c r="G46" s="185"/>
      <c r="H46" s="185"/>
      <c r="I46" s="185"/>
      <c r="J46" s="201"/>
      <c r="K46" s="200"/>
      <c r="L46" s="200"/>
      <c r="M46" s="201"/>
      <c r="N46" s="201"/>
      <c r="P46" s="141" t="str">
        <f t="shared" si="4"/>
        <v/>
      </c>
      <c r="Q46" s="141" t="str">
        <f t="shared" si="5"/>
        <v/>
      </c>
      <c r="U46" s="141">
        <v>3433</v>
      </c>
      <c r="V46" s="141" t="s">
        <v>143</v>
      </c>
      <c r="X46" s="141" t="str">
        <f t="shared" si="6"/>
        <v>34</v>
      </c>
      <c r="Y46" s="141" t="str">
        <f t="shared" si="7"/>
        <v>343</v>
      </c>
      <c r="AA46" s="141" t="s">
        <v>836</v>
      </c>
      <c r="AB46" s="141" t="s">
        <v>837</v>
      </c>
    </row>
    <row r="47" spans="1:28">
      <c r="A47" s="300"/>
      <c r="B47" s="146" t="str">
        <f t="shared" si="1"/>
        <v/>
      </c>
      <c r="C47" s="151"/>
      <c r="D47" s="146" t="str">
        <f t="shared" si="2"/>
        <v/>
      </c>
      <c r="E47" s="186"/>
      <c r="F47" s="146" t="str">
        <f t="shared" si="3"/>
        <v/>
      </c>
      <c r="G47" s="185"/>
      <c r="H47" s="185"/>
      <c r="I47" s="185"/>
      <c r="J47" s="201"/>
      <c r="K47" s="200"/>
      <c r="L47" s="200"/>
      <c r="M47" s="201"/>
      <c r="N47" s="201"/>
      <c r="P47" s="141" t="str">
        <f t="shared" si="4"/>
        <v/>
      </c>
      <c r="Q47" s="141" t="str">
        <f t="shared" si="5"/>
        <v/>
      </c>
      <c r="U47" s="141">
        <v>3434</v>
      </c>
      <c r="V47" s="141" t="s">
        <v>74</v>
      </c>
      <c r="X47" s="141" t="str">
        <f t="shared" si="6"/>
        <v>34</v>
      </c>
      <c r="Y47" s="141" t="str">
        <f t="shared" si="7"/>
        <v>343</v>
      </c>
      <c r="AA47" s="141" t="s">
        <v>838</v>
      </c>
      <c r="AB47" s="141" t="s">
        <v>839</v>
      </c>
    </row>
    <row r="48" spans="1:28">
      <c r="A48" s="300"/>
      <c r="B48" s="146" t="str">
        <f t="shared" si="1"/>
        <v/>
      </c>
      <c r="C48" s="151"/>
      <c r="D48" s="146" t="str">
        <f t="shared" si="2"/>
        <v/>
      </c>
      <c r="E48" s="186"/>
      <c r="F48" s="146" t="str">
        <f t="shared" si="3"/>
        <v/>
      </c>
      <c r="G48" s="185"/>
      <c r="H48" s="185"/>
      <c r="I48" s="185"/>
      <c r="J48" s="201"/>
      <c r="K48" s="200"/>
      <c r="L48" s="200"/>
      <c r="M48" s="201"/>
      <c r="N48" s="201"/>
      <c r="P48" s="141" t="str">
        <f t="shared" si="4"/>
        <v/>
      </c>
      <c r="Q48" s="141" t="str">
        <f t="shared" si="5"/>
        <v/>
      </c>
      <c r="U48" s="141">
        <v>3511</v>
      </c>
      <c r="V48" s="141" t="s">
        <v>186</v>
      </c>
      <c r="X48" s="141" t="str">
        <f t="shared" si="6"/>
        <v>35</v>
      </c>
      <c r="Y48" s="141" t="str">
        <f t="shared" si="7"/>
        <v>351</v>
      </c>
      <c r="AA48" s="141" t="s">
        <v>840</v>
      </c>
      <c r="AB48" s="141" t="s">
        <v>841</v>
      </c>
    </row>
    <row r="49" spans="1:28">
      <c r="A49" s="300"/>
      <c r="B49" s="146" t="str">
        <f t="shared" si="1"/>
        <v/>
      </c>
      <c r="C49" s="151"/>
      <c r="D49" s="146" t="str">
        <f t="shared" si="2"/>
        <v/>
      </c>
      <c r="E49" s="186"/>
      <c r="F49" s="146" t="str">
        <f t="shared" si="3"/>
        <v/>
      </c>
      <c r="G49" s="185"/>
      <c r="H49" s="185"/>
      <c r="I49" s="185"/>
      <c r="J49" s="201"/>
      <c r="K49" s="200"/>
      <c r="L49" s="200"/>
      <c r="M49" s="201"/>
      <c r="N49" s="201"/>
      <c r="P49" s="141" t="str">
        <f t="shared" si="4"/>
        <v/>
      </c>
      <c r="Q49" s="141" t="str">
        <f t="shared" si="5"/>
        <v/>
      </c>
      <c r="U49" s="141">
        <v>3512</v>
      </c>
      <c r="V49" s="141" t="s">
        <v>188</v>
      </c>
      <c r="X49" s="141" t="str">
        <f t="shared" si="6"/>
        <v>35</v>
      </c>
      <c r="Y49" s="141" t="str">
        <f t="shared" si="7"/>
        <v>351</v>
      </c>
      <c r="AA49" s="141" t="s">
        <v>842</v>
      </c>
      <c r="AB49" s="141" t="s">
        <v>843</v>
      </c>
    </row>
    <row r="50" spans="1:28">
      <c r="A50" s="300"/>
      <c r="B50" s="146" t="str">
        <f t="shared" si="1"/>
        <v/>
      </c>
      <c r="C50" s="151"/>
      <c r="D50" s="146" t="str">
        <f t="shared" si="2"/>
        <v/>
      </c>
      <c r="E50" s="186"/>
      <c r="F50" s="146" t="str">
        <f t="shared" si="3"/>
        <v/>
      </c>
      <c r="G50" s="185"/>
      <c r="H50" s="185"/>
      <c r="I50" s="185"/>
      <c r="J50" s="201"/>
      <c r="K50" s="200"/>
      <c r="L50" s="200"/>
      <c r="M50" s="201"/>
      <c r="N50" s="201"/>
      <c r="P50" s="141" t="str">
        <f t="shared" si="4"/>
        <v/>
      </c>
      <c r="Q50" s="141" t="str">
        <f t="shared" si="5"/>
        <v/>
      </c>
      <c r="U50" s="141">
        <v>3522</v>
      </c>
      <c r="V50" s="141" t="s">
        <v>265</v>
      </c>
      <c r="X50" s="141" t="str">
        <f t="shared" si="6"/>
        <v>35</v>
      </c>
      <c r="Y50" s="141" t="str">
        <f t="shared" si="7"/>
        <v>352</v>
      </c>
      <c r="AA50" s="141" t="s">
        <v>844</v>
      </c>
      <c r="AB50" s="141" t="s">
        <v>845</v>
      </c>
    </row>
    <row r="51" spans="1:28">
      <c r="A51" s="300"/>
      <c r="B51" s="146" t="str">
        <f t="shared" si="1"/>
        <v/>
      </c>
      <c r="C51" s="151"/>
      <c r="D51" s="146" t="str">
        <f t="shared" si="2"/>
        <v/>
      </c>
      <c r="E51" s="186"/>
      <c r="F51" s="146" t="str">
        <f t="shared" si="3"/>
        <v/>
      </c>
      <c r="G51" s="185"/>
      <c r="H51" s="185"/>
      <c r="I51" s="185"/>
      <c r="J51" s="201"/>
      <c r="K51" s="200"/>
      <c r="L51" s="200"/>
      <c r="M51" s="201"/>
      <c r="N51" s="201"/>
      <c r="P51" s="141" t="str">
        <f t="shared" si="4"/>
        <v/>
      </c>
      <c r="Q51" s="141" t="str">
        <f t="shared" si="5"/>
        <v/>
      </c>
      <c r="U51" s="141">
        <v>3531</v>
      </c>
      <c r="V51" s="141" t="s">
        <v>140</v>
      </c>
      <c r="X51" s="141" t="str">
        <f t="shared" si="6"/>
        <v>35</v>
      </c>
      <c r="Y51" s="141" t="str">
        <f t="shared" si="7"/>
        <v>353</v>
      </c>
      <c r="AA51" s="141" t="s">
        <v>1588</v>
      </c>
      <c r="AB51" s="141" t="s">
        <v>1589</v>
      </c>
    </row>
    <row r="52" spans="1:28">
      <c r="A52" s="300"/>
      <c r="B52" s="146" t="str">
        <f t="shared" si="1"/>
        <v/>
      </c>
      <c r="C52" s="151"/>
      <c r="D52" s="146" t="str">
        <f t="shared" si="2"/>
        <v/>
      </c>
      <c r="E52" s="186"/>
      <c r="F52" s="146" t="str">
        <f t="shared" si="3"/>
        <v/>
      </c>
      <c r="G52" s="185"/>
      <c r="H52" s="185"/>
      <c r="I52" s="185"/>
      <c r="J52" s="201"/>
      <c r="K52" s="200"/>
      <c r="L52" s="200"/>
      <c r="M52" s="201"/>
      <c r="N52" s="201"/>
      <c r="P52" s="141" t="str">
        <f t="shared" si="4"/>
        <v/>
      </c>
      <c r="Q52" s="141" t="str">
        <f t="shared" si="5"/>
        <v/>
      </c>
      <c r="U52" s="141">
        <v>3611</v>
      </c>
      <c r="V52" s="141" t="s">
        <v>94</v>
      </c>
      <c r="X52" s="141" t="str">
        <f t="shared" si="6"/>
        <v>36</v>
      </c>
      <c r="Y52" s="141" t="str">
        <f t="shared" si="7"/>
        <v>361</v>
      </c>
      <c r="AA52" s="141" t="s">
        <v>1590</v>
      </c>
      <c r="AB52" s="141" t="s">
        <v>1591</v>
      </c>
    </row>
    <row r="53" spans="1:28">
      <c r="A53" s="300"/>
      <c r="B53" s="146" t="str">
        <f t="shared" si="1"/>
        <v/>
      </c>
      <c r="C53" s="151"/>
      <c r="D53" s="146" t="str">
        <f t="shared" si="2"/>
        <v/>
      </c>
      <c r="E53" s="186"/>
      <c r="F53" s="146" t="str">
        <f t="shared" si="3"/>
        <v/>
      </c>
      <c r="G53" s="185"/>
      <c r="H53" s="185"/>
      <c r="I53" s="185"/>
      <c r="J53" s="201"/>
      <c r="K53" s="200"/>
      <c r="L53" s="200"/>
      <c r="M53" s="201"/>
      <c r="N53" s="201"/>
      <c r="P53" s="141" t="str">
        <f t="shared" si="4"/>
        <v/>
      </c>
      <c r="Q53" s="141" t="str">
        <f t="shared" si="5"/>
        <v/>
      </c>
      <c r="U53" s="141">
        <v>3621</v>
      </c>
      <c r="V53" s="141" t="s">
        <v>144</v>
      </c>
      <c r="X53" s="141" t="str">
        <f t="shared" si="6"/>
        <v>36</v>
      </c>
      <c r="Y53" s="141" t="str">
        <f t="shared" si="7"/>
        <v>362</v>
      </c>
      <c r="AA53" s="141" t="s">
        <v>1592</v>
      </c>
      <c r="AB53" s="141" t="s">
        <v>1593</v>
      </c>
    </row>
    <row r="54" spans="1:28">
      <c r="A54" s="300"/>
      <c r="B54" s="146" t="str">
        <f t="shared" si="1"/>
        <v/>
      </c>
      <c r="C54" s="151"/>
      <c r="D54" s="146" t="str">
        <f t="shared" si="2"/>
        <v/>
      </c>
      <c r="E54" s="186"/>
      <c r="F54" s="146" t="str">
        <f t="shared" si="3"/>
        <v/>
      </c>
      <c r="G54" s="185"/>
      <c r="H54" s="185"/>
      <c r="I54" s="185"/>
      <c r="J54" s="201"/>
      <c r="K54" s="200"/>
      <c r="L54" s="200"/>
      <c r="M54" s="201"/>
      <c r="N54" s="201"/>
      <c r="P54" s="141" t="str">
        <f t="shared" si="4"/>
        <v/>
      </c>
      <c r="Q54" s="141" t="str">
        <f t="shared" si="5"/>
        <v/>
      </c>
      <c r="U54" s="141">
        <v>3631</v>
      </c>
      <c r="V54" s="141" t="s">
        <v>185</v>
      </c>
      <c r="X54" s="141" t="str">
        <f t="shared" si="6"/>
        <v>36</v>
      </c>
      <c r="Y54" s="141" t="str">
        <f t="shared" si="7"/>
        <v>363</v>
      </c>
      <c r="AA54" s="141" t="s">
        <v>1594</v>
      </c>
      <c r="AB54" s="141" t="s">
        <v>1595</v>
      </c>
    </row>
    <row r="55" spans="1:28">
      <c r="A55" s="300"/>
      <c r="B55" s="146" t="str">
        <f t="shared" si="1"/>
        <v/>
      </c>
      <c r="C55" s="151"/>
      <c r="D55" s="146" t="str">
        <f t="shared" si="2"/>
        <v/>
      </c>
      <c r="E55" s="186"/>
      <c r="F55" s="146" t="str">
        <f t="shared" si="3"/>
        <v/>
      </c>
      <c r="G55" s="185"/>
      <c r="H55" s="185"/>
      <c r="I55" s="185"/>
      <c r="J55" s="201"/>
      <c r="K55" s="200"/>
      <c r="L55" s="200"/>
      <c r="M55" s="201"/>
      <c r="N55" s="201"/>
      <c r="P55" s="141" t="str">
        <f t="shared" si="4"/>
        <v/>
      </c>
      <c r="Q55" s="141" t="str">
        <f t="shared" si="5"/>
        <v/>
      </c>
      <c r="U55" s="141">
        <v>3632</v>
      </c>
      <c r="V55" s="141" t="s">
        <v>266</v>
      </c>
      <c r="X55" s="141" t="str">
        <f t="shared" si="6"/>
        <v>36</v>
      </c>
      <c r="Y55" s="141" t="str">
        <f t="shared" si="7"/>
        <v>363</v>
      </c>
      <c r="AA55" s="141" t="s">
        <v>1596</v>
      </c>
      <c r="AB55" s="141" t="s">
        <v>1597</v>
      </c>
    </row>
    <row r="56" spans="1:28">
      <c r="A56" s="151"/>
      <c r="B56" s="146" t="str">
        <f t="shared" si="1"/>
        <v/>
      </c>
      <c r="C56" s="151"/>
      <c r="D56" s="146" t="str">
        <f t="shared" si="2"/>
        <v/>
      </c>
      <c r="E56" s="186"/>
      <c r="F56" s="146" t="str">
        <f t="shared" si="3"/>
        <v/>
      </c>
      <c r="G56" s="185"/>
      <c r="H56" s="185"/>
      <c r="I56" s="185"/>
      <c r="J56" s="201"/>
      <c r="K56" s="200"/>
      <c r="L56" s="200"/>
      <c r="M56" s="201"/>
      <c r="N56" s="201"/>
      <c r="P56" s="141" t="str">
        <f t="shared" si="4"/>
        <v/>
      </c>
      <c r="Q56" s="141" t="str">
        <f t="shared" si="5"/>
        <v/>
      </c>
      <c r="U56" s="141">
        <v>3661</v>
      </c>
      <c r="V56" s="141" t="s">
        <v>106</v>
      </c>
      <c r="X56" s="141" t="str">
        <f t="shared" si="6"/>
        <v>36</v>
      </c>
      <c r="Y56" s="141" t="str">
        <f t="shared" si="7"/>
        <v>366</v>
      </c>
      <c r="AA56" s="141" t="s">
        <v>1598</v>
      </c>
      <c r="AB56" s="141" t="s">
        <v>1599</v>
      </c>
    </row>
    <row r="57" spans="1:28">
      <c r="A57" s="151"/>
      <c r="B57" s="146" t="str">
        <f t="shared" si="1"/>
        <v/>
      </c>
      <c r="C57" s="151"/>
      <c r="D57" s="146" t="str">
        <f t="shared" si="2"/>
        <v/>
      </c>
      <c r="E57" s="186"/>
      <c r="F57" s="146" t="str">
        <f t="shared" si="3"/>
        <v/>
      </c>
      <c r="G57" s="185"/>
      <c r="H57" s="185"/>
      <c r="I57" s="185"/>
      <c r="J57" s="201"/>
      <c r="K57" s="200"/>
      <c r="L57" s="200"/>
      <c r="M57" s="201"/>
      <c r="N57" s="201"/>
      <c r="P57" s="141" t="str">
        <f t="shared" si="4"/>
        <v/>
      </c>
      <c r="Q57" s="141" t="str">
        <f t="shared" si="5"/>
        <v/>
      </c>
      <c r="U57" s="141">
        <v>3662</v>
      </c>
      <c r="V57" s="141" t="s">
        <v>189</v>
      </c>
      <c r="X57" s="141" t="str">
        <f t="shared" si="6"/>
        <v>36</v>
      </c>
      <c r="Y57" s="141" t="str">
        <f t="shared" si="7"/>
        <v>366</v>
      </c>
      <c r="AA57" s="141" t="s">
        <v>1600</v>
      </c>
      <c r="AB57" s="141" t="s">
        <v>1601</v>
      </c>
    </row>
    <row r="58" spans="1:28">
      <c r="A58" s="151"/>
      <c r="B58" s="146" t="str">
        <f t="shared" si="1"/>
        <v/>
      </c>
      <c r="C58" s="151"/>
      <c r="D58" s="146" t="str">
        <f t="shared" si="2"/>
        <v/>
      </c>
      <c r="E58" s="186"/>
      <c r="F58" s="146" t="str">
        <f t="shared" si="3"/>
        <v/>
      </c>
      <c r="G58" s="185"/>
      <c r="H58" s="185"/>
      <c r="I58" s="185"/>
      <c r="J58" s="201"/>
      <c r="K58" s="200"/>
      <c r="L58" s="200"/>
      <c r="M58" s="201"/>
      <c r="N58" s="201"/>
      <c r="P58" s="141" t="str">
        <f t="shared" si="4"/>
        <v/>
      </c>
      <c r="Q58" s="141" t="str">
        <f t="shared" si="5"/>
        <v/>
      </c>
      <c r="U58" s="141">
        <v>3681</v>
      </c>
      <c r="V58" s="141" t="s">
        <v>29</v>
      </c>
      <c r="X58" s="141" t="str">
        <f t="shared" si="6"/>
        <v>36</v>
      </c>
      <c r="Y58" s="141" t="str">
        <f t="shared" si="7"/>
        <v>368</v>
      </c>
      <c r="AA58" s="141" t="s">
        <v>1602</v>
      </c>
      <c r="AB58" s="141" t="s">
        <v>1603</v>
      </c>
    </row>
    <row r="59" spans="1:28">
      <c r="A59" s="151"/>
      <c r="B59" s="146" t="str">
        <f t="shared" si="1"/>
        <v/>
      </c>
      <c r="C59" s="151"/>
      <c r="D59" s="146" t="str">
        <f t="shared" si="2"/>
        <v/>
      </c>
      <c r="E59" s="186"/>
      <c r="F59" s="146" t="str">
        <f t="shared" si="3"/>
        <v/>
      </c>
      <c r="G59" s="185"/>
      <c r="H59" s="185"/>
      <c r="I59" s="185"/>
      <c r="J59" s="201"/>
      <c r="K59" s="200"/>
      <c r="L59" s="200"/>
      <c r="M59" s="201"/>
      <c r="N59" s="201"/>
      <c r="P59" s="141" t="str">
        <f t="shared" si="4"/>
        <v/>
      </c>
      <c r="Q59" s="141" t="str">
        <f t="shared" si="5"/>
        <v/>
      </c>
      <c r="U59" s="141">
        <v>3682</v>
      </c>
      <c r="V59" s="141" t="s">
        <v>30</v>
      </c>
      <c r="X59" s="141" t="str">
        <f t="shared" si="6"/>
        <v>36</v>
      </c>
      <c r="Y59" s="141" t="str">
        <f t="shared" si="7"/>
        <v>368</v>
      </c>
      <c r="AA59" s="141" t="s">
        <v>1604</v>
      </c>
      <c r="AB59" s="141" t="s">
        <v>1605</v>
      </c>
    </row>
    <row r="60" spans="1:28">
      <c r="A60" s="151"/>
      <c r="B60" s="146" t="str">
        <f t="shared" si="1"/>
        <v/>
      </c>
      <c r="C60" s="151"/>
      <c r="D60" s="146" t="str">
        <f t="shared" si="2"/>
        <v/>
      </c>
      <c r="E60" s="186"/>
      <c r="F60" s="146" t="str">
        <f t="shared" si="3"/>
        <v/>
      </c>
      <c r="G60" s="185"/>
      <c r="H60" s="185"/>
      <c r="I60" s="185"/>
      <c r="J60" s="201"/>
      <c r="K60" s="200"/>
      <c r="L60" s="200"/>
      <c r="M60" s="201"/>
      <c r="N60" s="201"/>
      <c r="P60" s="141" t="str">
        <f t="shared" si="4"/>
        <v/>
      </c>
      <c r="Q60" s="141" t="str">
        <f t="shared" si="5"/>
        <v/>
      </c>
      <c r="U60" s="141">
        <v>3691</v>
      </c>
      <c r="V60" s="141" t="s">
        <v>111</v>
      </c>
      <c r="X60" s="141" t="str">
        <f t="shared" si="6"/>
        <v>36</v>
      </c>
      <c r="Y60" s="141" t="str">
        <f t="shared" si="7"/>
        <v>369</v>
      </c>
      <c r="AA60" s="141" t="s">
        <v>1606</v>
      </c>
      <c r="AB60" s="141" t="s">
        <v>1607</v>
      </c>
    </row>
    <row r="61" spans="1:28">
      <c r="A61" s="151"/>
      <c r="B61" s="146" t="str">
        <f t="shared" si="1"/>
        <v/>
      </c>
      <c r="C61" s="151"/>
      <c r="D61" s="146" t="str">
        <f t="shared" si="2"/>
        <v/>
      </c>
      <c r="E61" s="186"/>
      <c r="F61" s="146" t="str">
        <f t="shared" si="3"/>
        <v/>
      </c>
      <c r="G61" s="185"/>
      <c r="H61" s="185"/>
      <c r="I61" s="185"/>
      <c r="J61" s="201"/>
      <c r="K61" s="200"/>
      <c r="L61" s="200"/>
      <c r="M61" s="201"/>
      <c r="N61" s="201"/>
      <c r="P61" s="141" t="str">
        <f t="shared" si="4"/>
        <v/>
      </c>
      <c r="Q61" s="141" t="str">
        <f t="shared" si="5"/>
        <v/>
      </c>
      <c r="U61" s="141">
        <v>3692</v>
      </c>
      <c r="V61" s="141" t="s">
        <v>183</v>
      </c>
      <c r="X61" s="141" t="str">
        <f t="shared" si="6"/>
        <v>36</v>
      </c>
      <c r="Y61" s="141" t="str">
        <f t="shared" si="7"/>
        <v>369</v>
      </c>
      <c r="AA61" s="141" t="s">
        <v>1608</v>
      </c>
      <c r="AB61" s="141" t="s">
        <v>1609</v>
      </c>
    </row>
    <row r="62" spans="1:28">
      <c r="A62" s="151"/>
      <c r="B62" s="146" t="str">
        <f t="shared" si="1"/>
        <v/>
      </c>
      <c r="C62" s="151"/>
      <c r="D62" s="146" t="str">
        <f t="shared" si="2"/>
        <v/>
      </c>
      <c r="E62" s="186"/>
      <c r="F62" s="146" t="str">
        <f t="shared" si="3"/>
        <v/>
      </c>
      <c r="G62" s="185"/>
      <c r="H62" s="185"/>
      <c r="I62" s="185"/>
      <c r="J62" s="201"/>
      <c r="K62" s="200"/>
      <c r="L62" s="200"/>
      <c r="M62" s="201"/>
      <c r="N62" s="201"/>
      <c r="P62" s="141" t="str">
        <f t="shared" si="4"/>
        <v/>
      </c>
      <c r="Q62" s="141" t="str">
        <f t="shared" si="5"/>
        <v/>
      </c>
      <c r="U62" s="141">
        <v>3693</v>
      </c>
      <c r="V62" s="141" t="s">
        <v>111</v>
      </c>
      <c r="X62" s="141" t="str">
        <f t="shared" si="6"/>
        <v>36</v>
      </c>
      <c r="Y62" s="141" t="str">
        <f t="shared" si="7"/>
        <v>369</v>
      </c>
      <c r="AA62" s="141" t="s">
        <v>1610</v>
      </c>
      <c r="AB62" s="141" t="s">
        <v>1611</v>
      </c>
    </row>
    <row r="63" spans="1:28">
      <c r="A63" s="151"/>
      <c r="B63" s="146" t="str">
        <f t="shared" si="1"/>
        <v/>
      </c>
      <c r="C63" s="151"/>
      <c r="D63" s="146" t="str">
        <f t="shared" si="2"/>
        <v/>
      </c>
      <c r="E63" s="186"/>
      <c r="F63" s="146" t="str">
        <f t="shared" si="3"/>
        <v/>
      </c>
      <c r="G63" s="185"/>
      <c r="H63" s="185"/>
      <c r="I63" s="185"/>
      <c r="J63" s="201"/>
      <c r="K63" s="200"/>
      <c r="L63" s="200"/>
      <c r="M63" s="201"/>
      <c r="N63" s="201"/>
      <c r="P63" s="141" t="str">
        <f t="shared" si="4"/>
        <v/>
      </c>
      <c r="Q63" s="141" t="str">
        <f t="shared" si="5"/>
        <v/>
      </c>
      <c r="U63" s="141">
        <v>3694</v>
      </c>
      <c r="V63" s="141" t="s">
        <v>183</v>
      </c>
      <c r="X63" s="141" t="str">
        <f t="shared" si="6"/>
        <v>36</v>
      </c>
      <c r="Y63" s="141" t="str">
        <f t="shared" si="7"/>
        <v>369</v>
      </c>
      <c r="AA63" s="141" t="s">
        <v>1612</v>
      </c>
      <c r="AB63" s="141" t="s">
        <v>1613</v>
      </c>
    </row>
    <row r="64" spans="1:28">
      <c r="A64" s="151"/>
      <c r="B64" s="146" t="str">
        <f t="shared" si="1"/>
        <v/>
      </c>
      <c r="C64" s="151"/>
      <c r="D64" s="146" t="str">
        <f t="shared" si="2"/>
        <v/>
      </c>
      <c r="E64" s="186"/>
      <c r="F64" s="146" t="str">
        <f t="shared" si="3"/>
        <v/>
      </c>
      <c r="G64" s="185"/>
      <c r="H64" s="185"/>
      <c r="I64" s="185"/>
      <c r="J64" s="201"/>
      <c r="K64" s="200"/>
      <c r="L64" s="200"/>
      <c r="M64" s="201"/>
      <c r="N64" s="201"/>
      <c r="P64" s="141" t="str">
        <f t="shared" si="4"/>
        <v/>
      </c>
      <c r="Q64" s="141" t="str">
        <f t="shared" si="5"/>
        <v/>
      </c>
      <c r="U64" s="141">
        <v>3711</v>
      </c>
      <c r="V64" s="141" t="s">
        <v>130</v>
      </c>
      <c r="X64" s="141" t="str">
        <f t="shared" si="6"/>
        <v>37</v>
      </c>
      <c r="Y64" s="141" t="str">
        <f t="shared" si="7"/>
        <v>371</v>
      </c>
      <c r="AA64" s="141" t="s">
        <v>1614</v>
      </c>
      <c r="AB64" s="141" t="s">
        <v>1615</v>
      </c>
    </row>
    <row r="65" spans="1:28">
      <c r="A65" s="151"/>
      <c r="B65" s="146" t="str">
        <f t="shared" si="1"/>
        <v/>
      </c>
      <c r="C65" s="151"/>
      <c r="D65" s="146" t="str">
        <f t="shared" si="2"/>
        <v/>
      </c>
      <c r="E65" s="186"/>
      <c r="F65" s="146" t="str">
        <f t="shared" si="3"/>
        <v/>
      </c>
      <c r="G65" s="185"/>
      <c r="H65" s="185"/>
      <c r="I65" s="185"/>
      <c r="J65" s="201"/>
      <c r="K65" s="200"/>
      <c r="L65" s="200"/>
      <c r="M65" s="201"/>
      <c r="N65" s="201"/>
      <c r="P65" s="141" t="str">
        <f t="shared" si="4"/>
        <v/>
      </c>
      <c r="Q65" s="141" t="str">
        <f t="shared" si="5"/>
        <v/>
      </c>
      <c r="U65" s="141">
        <v>3712</v>
      </c>
      <c r="V65" s="141" t="s">
        <v>148</v>
      </c>
      <c r="X65" s="141" t="str">
        <f t="shared" si="6"/>
        <v>37</v>
      </c>
      <c r="Y65" s="141" t="str">
        <f t="shared" si="7"/>
        <v>371</v>
      </c>
      <c r="AA65" s="141" t="s">
        <v>1616</v>
      </c>
      <c r="AB65" s="141" t="s">
        <v>1617</v>
      </c>
    </row>
    <row r="66" spans="1:28">
      <c r="A66" s="151"/>
      <c r="B66" s="146" t="str">
        <f t="shared" si="1"/>
        <v/>
      </c>
      <c r="C66" s="151"/>
      <c r="D66" s="146" t="str">
        <f t="shared" si="2"/>
        <v/>
      </c>
      <c r="E66" s="186"/>
      <c r="F66" s="146" t="str">
        <f t="shared" si="3"/>
        <v/>
      </c>
      <c r="G66" s="185"/>
      <c r="H66" s="185"/>
      <c r="I66" s="185"/>
      <c r="J66" s="201"/>
      <c r="K66" s="200"/>
      <c r="L66" s="200"/>
      <c r="M66" s="201"/>
      <c r="N66" s="201"/>
      <c r="P66" s="141" t="str">
        <f t="shared" si="4"/>
        <v/>
      </c>
      <c r="Q66" s="141" t="str">
        <f t="shared" si="5"/>
        <v/>
      </c>
      <c r="U66" s="141">
        <v>3713</v>
      </c>
      <c r="V66" s="141" t="s">
        <v>175</v>
      </c>
      <c r="X66" s="141" t="str">
        <f t="shared" si="6"/>
        <v>37</v>
      </c>
      <c r="Y66" s="141" t="str">
        <f t="shared" si="7"/>
        <v>371</v>
      </c>
      <c r="AA66" s="141" t="s">
        <v>846</v>
      </c>
      <c r="AB66" s="141" t="s">
        <v>847</v>
      </c>
    </row>
    <row r="67" spans="1:28">
      <c r="A67" s="151"/>
      <c r="B67" s="146" t="str">
        <f t="shared" si="1"/>
        <v/>
      </c>
      <c r="C67" s="151"/>
      <c r="D67" s="146" t="str">
        <f t="shared" si="2"/>
        <v/>
      </c>
      <c r="E67" s="186"/>
      <c r="F67" s="146" t="str">
        <f t="shared" si="3"/>
        <v/>
      </c>
      <c r="G67" s="185"/>
      <c r="H67" s="185"/>
      <c r="I67" s="185"/>
      <c r="J67" s="201"/>
      <c r="K67" s="200"/>
      <c r="L67" s="200"/>
      <c r="M67" s="201"/>
      <c r="N67" s="201"/>
      <c r="P67" s="141" t="str">
        <f t="shared" si="4"/>
        <v/>
      </c>
      <c r="Q67" s="141" t="str">
        <f t="shared" si="5"/>
        <v/>
      </c>
      <c r="U67" s="141">
        <v>3714</v>
      </c>
      <c r="V67" s="141" t="s">
        <v>196</v>
      </c>
      <c r="X67" s="141" t="str">
        <f t="shared" si="6"/>
        <v>37</v>
      </c>
      <c r="Y67" s="141" t="str">
        <f t="shared" si="7"/>
        <v>371</v>
      </c>
      <c r="AA67" s="141" t="s">
        <v>848</v>
      </c>
      <c r="AB67" s="141" t="s">
        <v>849</v>
      </c>
    </row>
    <row r="68" spans="1:28">
      <c r="A68" s="151"/>
      <c r="B68" s="146" t="str">
        <f t="shared" ref="B68:B131" si="8">IFERROR(VLOOKUP(A68,$R$6:$S$23,2,FALSE),"")</f>
        <v/>
      </c>
      <c r="C68" s="151"/>
      <c r="D68" s="146" t="str">
        <f t="shared" ref="D68:D131" si="9">IFERROR(VLOOKUP(C68,$U$5:$W$129,2,FALSE),"")</f>
        <v/>
      </c>
      <c r="E68" s="186"/>
      <c r="F68" s="146" t="str">
        <f t="shared" ref="F68:F131" si="10">IFERROR(VLOOKUP(E68,$AA$5:$AB$500,2,FALSE),"")</f>
        <v/>
      </c>
      <c r="G68" s="185"/>
      <c r="H68" s="185"/>
      <c r="I68" s="185"/>
      <c r="J68" s="201"/>
      <c r="K68" s="200"/>
      <c r="L68" s="200"/>
      <c r="M68" s="201"/>
      <c r="N68" s="201"/>
      <c r="P68" s="141" t="str">
        <f t="shared" ref="P68:P131" si="11">LEFT(C68,3)</f>
        <v/>
      </c>
      <c r="Q68" s="141" t="str">
        <f t="shared" ref="Q68:Q131" si="12">LEFT(C68,2)</f>
        <v/>
      </c>
      <c r="U68" s="141">
        <v>3715</v>
      </c>
      <c r="V68" s="141" t="s">
        <v>134</v>
      </c>
      <c r="X68" s="141" t="str">
        <f t="shared" si="6"/>
        <v>37</v>
      </c>
      <c r="Y68" s="141" t="str">
        <f t="shared" si="7"/>
        <v>371</v>
      </c>
      <c r="AA68" s="141" t="s">
        <v>850</v>
      </c>
      <c r="AB68" s="141" t="s">
        <v>851</v>
      </c>
    </row>
    <row r="69" spans="1:28">
      <c r="A69" s="151"/>
      <c r="B69" s="146" t="str">
        <f t="shared" si="8"/>
        <v/>
      </c>
      <c r="C69" s="151"/>
      <c r="D69" s="146" t="str">
        <f t="shared" si="9"/>
        <v/>
      </c>
      <c r="E69" s="186"/>
      <c r="F69" s="146" t="str">
        <f t="shared" si="10"/>
        <v/>
      </c>
      <c r="G69" s="185"/>
      <c r="H69" s="185"/>
      <c r="I69" s="185"/>
      <c r="J69" s="201"/>
      <c r="K69" s="200"/>
      <c r="L69" s="200"/>
      <c r="M69" s="201"/>
      <c r="N69" s="201"/>
      <c r="P69" s="141" t="str">
        <f t="shared" si="11"/>
        <v/>
      </c>
      <c r="Q69" s="141" t="str">
        <f t="shared" si="12"/>
        <v/>
      </c>
      <c r="U69" s="141">
        <v>3721</v>
      </c>
      <c r="V69" s="141" t="s">
        <v>72</v>
      </c>
      <c r="X69" s="141" t="str">
        <f t="shared" ref="X69:X129" si="13">LEFT(U69,2)</f>
        <v>37</v>
      </c>
      <c r="Y69" s="141" t="str">
        <f t="shared" si="7"/>
        <v>372</v>
      </c>
      <c r="AA69" s="141" t="s">
        <v>852</v>
      </c>
      <c r="AB69" s="141" t="s">
        <v>853</v>
      </c>
    </row>
    <row r="70" spans="1:28">
      <c r="A70" s="151"/>
      <c r="B70" s="146" t="str">
        <f t="shared" si="8"/>
        <v/>
      </c>
      <c r="C70" s="151"/>
      <c r="D70" s="146" t="str">
        <f t="shared" si="9"/>
        <v/>
      </c>
      <c r="E70" s="186"/>
      <c r="F70" s="146" t="str">
        <f t="shared" si="10"/>
        <v/>
      </c>
      <c r="G70" s="185"/>
      <c r="H70" s="185"/>
      <c r="I70" s="185"/>
      <c r="J70" s="201"/>
      <c r="K70" s="200"/>
      <c r="L70" s="200"/>
      <c r="M70" s="201"/>
      <c r="N70" s="201"/>
      <c r="P70" s="141" t="str">
        <f t="shared" si="11"/>
        <v/>
      </c>
      <c r="Q70" s="141" t="str">
        <f t="shared" si="12"/>
        <v/>
      </c>
      <c r="U70" s="141">
        <v>3722</v>
      </c>
      <c r="V70" s="141" t="s">
        <v>157</v>
      </c>
      <c r="X70" s="141" t="str">
        <f t="shared" si="13"/>
        <v>37</v>
      </c>
      <c r="Y70" s="141" t="str">
        <f t="shared" ref="Y70:Y129" si="14">LEFT(U70,3)</f>
        <v>372</v>
      </c>
      <c r="AA70" s="141" t="s">
        <v>854</v>
      </c>
      <c r="AB70" s="141" t="s">
        <v>855</v>
      </c>
    </row>
    <row r="71" spans="1:28">
      <c r="A71" s="151"/>
      <c r="B71" s="146" t="str">
        <f t="shared" si="8"/>
        <v/>
      </c>
      <c r="C71" s="151"/>
      <c r="D71" s="146" t="str">
        <f t="shared" si="9"/>
        <v/>
      </c>
      <c r="E71" s="186"/>
      <c r="F71" s="146" t="str">
        <f t="shared" si="10"/>
        <v/>
      </c>
      <c r="G71" s="185"/>
      <c r="H71" s="185"/>
      <c r="I71" s="185"/>
      <c r="J71" s="201"/>
      <c r="K71" s="200"/>
      <c r="L71" s="200"/>
      <c r="M71" s="201"/>
      <c r="N71" s="201"/>
      <c r="P71" s="141" t="str">
        <f t="shared" si="11"/>
        <v/>
      </c>
      <c r="Q71" s="141" t="str">
        <f t="shared" si="12"/>
        <v/>
      </c>
      <c r="U71" s="141">
        <v>3723</v>
      </c>
      <c r="V71" s="141" t="s">
        <v>112</v>
      </c>
      <c r="X71" s="141" t="str">
        <f t="shared" si="13"/>
        <v>37</v>
      </c>
      <c r="Y71" s="141" t="str">
        <f t="shared" si="14"/>
        <v>372</v>
      </c>
      <c r="AA71" s="141" t="s">
        <v>856</v>
      </c>
      <c r="AB71" s="141" t="s">
        <v>857</v>
      </c>
    </row>
    <row r="72" spans="1:28">
      <c r="A72" s="151"/>
      <c r="B72" s="146" t="str">
        <f t="shared" si="8"/>
        <v/>
      </c>
      <c r="C72" s="151"/>
      <c r="D72" s="146" t="str">
        <f t="shared" si="9"/>
        <v/>
      </c>
      <c r="E72" s="186"/>
      <c r="F72" s="146" t="str">
        <f t="shared" si="10"/>
        <v/>
      </c>
      <c r="G72" s="185"/>
      <c r="H72" s="185"/>
      <c r="I72" s="185"/>
      <c r="J72" s="201"/>
      <c r="K72" s="200"/>
      <c r="L72" s="200"/>
      <c r="M72" s="201"/>
      <c r="N72" s="201"/>
      <c r="P72" s="141" t="str">
        <f t="shared" si="11"/>
        <v/>
      </c>
      <c r="Q72" s="141" t="str">
        <f t="shared" si="12"/>
        <v/>
      </c>
      <c r="U72" s="141">
        <v>3811</v>
      </c>
      <c r="V72" s="141" t="s">
        <v>62</v>
      </c>
      <c r="X72" s="141" t="str">
        <f t="shared" si="13"/>
        <v>38</v>
      </c>
      <c r="Y72" s="141" t="str">
        <f t="shared" si="14"/>
        <v>381</v>
      </c>
      <c r="AA72" s="141" t="s">
        <v>858</v>
      </c>
      <c r="AB72" s="141" t="s">
        <v>859</v>
      </c>
    </row>
    <row r="73" spans="1:28">
      <c r="A73" s="151"/>
      <c r="B73" s="146" t="str">
        <f t="shared" si="8"/>
        <v/>
      </c>
      <c r="C73" s="151"/>
      <c r="D73" s="146" t="str">
        <f t="shared" si="9"/>
        <v/>
      </c>
      <c r="E73" s="186"/>
      <c r="F73" s="146" t="str">
        <f t="shared" si="10"/>
        <v/>
      </c>
      <c r="G73" s="185"/>
      <c r="H73" s="185"/>
      <c r="I73" s="185"/>
      <c r="J73" s="201"/>
      <c r="K73" s="200"/>
      <c r="L73" s="200"/>
      <c r="M73" s="201"/>
      <c r="N73" s="201"/>
      <c r="P73" s="141" t="str">
        <f t="shared" si="11"/>
        <v/>
      </c>
      <c r="Q73" s="141" t="str">
        <f t="shared" si="12"/>
        <v/>
      </c>
      <c r="U73" s="141">
        <v>3812</v>
      </c>
      <c r="V73" s="141" t="s">
        <v>158</v>
      </c>
      <c r="X73" s="141" t="str">
        <f t="shared" si="13"/>
        <v>38</v>
      </c>
      <c r="Y73" s="141" t="str">
        <f t="shared" si="14"/>
        <v>381</v>
      </c>
      <c r="AA73" s="141" t="s">
        <v>860</v>
      </c>
      <c r="AB73" s="141" t="s">
        <v>861</v>
      </c>
    </row>
    <row r="74" spans="1:28">
      <c r="A74" s="151"/>
      <c r="B74" s="146" t="str">
        <f t="shared" si="8"/>
        <v/>
      </c>
      <c r="C74" s="151"/>
      <c r="D74" s="146" t="str">
        <f t="shared" si="9"/>
        <v/>
      </c>
      <c r="E74" s="186"/>
      <c r="F74" s="146" t="str">
        <f t="shared" si="10"/>
        <v/>
      </c>
      <c r="G74" s="185"/>
      <c r="H74" s="185"/>
      <c r="I74" s="185"/>
      <c r="J74" s="201"/>
      <c r="K74" s="200"/>
      <c r="L74" s="200"/>
      <c r="M74" s="201"/>
      <c r="N74" s="201"/>
      <c r="P74" s="141" t="str">
        <f t="shared" si="11"/>
        <v/>
      </c>
      <c r="Q74" s="141" t="str">
        <f t="shared" si="12"/>
        <v/>
      </c>
      <c r="U74" s="141">
        <v>3813</v>
      </c>
      <c r="V74" s="141" t="s">
        <v>101</v>
      </c>
      <c r="X74" s="141" t="str">
        <f t="shared" si="13"/>
        <v>38</v>
      </c>
      <c r="Y74" s="141" t="str">
        <f t="shared" si="14"/>
        <v>381</v>
      </c>
      <c r="AA74" s="141" t="s">
        <v>862</v>
      </c>
      <c r="AB74" s="141" t="s">
        <v>863</v>
      </c>
    </row>
    <row r="75" spans="1:28">
      <c r="A75" s="151"/>
      <c r="B75" s="146" t="str">
        <f t="shared" si="8"/>
        <v/>
      </c>
      <c r="C75" s="151"/>
      <c r="D75" s="146" t="str">
        <f t="shared" si="9"/>
        <v/>
      </c>
      <c r="E75" s="186"/>
      <c r="F75" s="146" t="str">
        <f t="shared" si="10"/>
        <v/>
      </c>
      <c r="G75" s="185"/>
      <c r="H75" s="185"/>
      <c r="I75" s="185"/>
      <c r="J75" s="201"/>
      <c r="K75" s="200"/>
      <c r="L75" s="200"/>
      <c r="M75" s="201"/>
      <c r="N75" s="201"/>
      <c r="P75" s="141" t="str">
        <f t="shared" si="11"/>
        <v/>
      </c>
      <c r="Q75" s="141" t="str">
        <f t="shared" si="12"/>
        <v/>
      </c>
      <c r="U75" s="141">
        <v>3821</v>
      </c>
      <c r="V75" s="141" t="s">
        <v>176</v>
      </c>
      <c r="X75" s="141" t="str">
        <f t="shared" si="13"/>
        <v>38</v>
      </c>
      <c r="Y75" s="141" t="str">
        <f t="shared" si="14"/>
        <v>382</v>
      </c>
      <c r="AA75" s="141" t="s">
        <v>864</v>
      </c>
      <c r="AB75" s="141" t="s">
        <v>865</v>
      </c>
    </row>
    <row r="76" spans="1:28">
      <c r="A76" s="151"/>
      <c r="B76" s="146" t="str">
        <f t="shared" si="8"/>
        <v/>
      </c>
      <c r="C76" s="151"/>
      <c r="D76" s="146" t="str">
        <f t="shared" si="9"/>
        <v/>
      </c>
      <c r="E76" s="186"/>
      <c r="F76" s="146" t="str">
        <f t="shared" si="10"/>
        <v/>
      </c>
      <c r="G76" s="185"/>
      <c r="H76" s="185"/>
      <c r="I76" s="185"/>
      <c r="J76" s="201"/>
      <c r="K76" s="200"/>
      <c r="L76" s="200"/>
      <c r="M76" s="201"/>
      <c r="N76" s="201"/>
      <c r="P76" s="141" t="str">
        <f t="shared" si="11"/>
        <v/>
      </c>
      <c r="Q76" s="141" t="str">
        <f t="shared" si="12"/>
        <v/>
      </c>
      <c r="U76" s="141">
        <v>3831</v>
      </c>
      <c r="V76" s="141" t="s">
        <v>159</v>
      </c>
      <c r="X76" s="141" t="str">
        <f t="shared" si="13"/>
        <v>38</v>
      </c>
      <c r="Y76" s="141" t="str">
        <f t="shared" si="14"/>
        <v>383</v>
      </c>
      <c r="AA76" s="141" t="s">
        <v>866</v>
      </c>
      <c r="AB76" s="141" t="s">
        <v>867</v>
      </c>
    </row>
    <row r="77" spans="1:28">
      <c r="A77" s="151"/>
      <c r="B77" s="146" t="str">
        <f t="shared" si="8"/>
        <v/>
      </c>
      <c r="C77" s="151"/>
      <c r="D77" s="146" t="str">
        <f t="shared" si="9"/>
        <v/>
      </c>
      <c r="E77" s="186"/>
      <c r="F77" s="146" t="str">
        <f t="shared" si="10"/>
        <v/>
      </c>
      <c r="G77" s="185"/>
      <c r="H77" s="185"/>
      <c r="I77" s="185"/>
      <c r="J77" s="201"/>
      <c r="K77" s="200"/>
      <c r="L77" s="200"/>
      <c r="M77" s="201"/>
      <c r="N77" s="201"/>
      <c r="P77" s="141" t="str">
        <f t="shared" si="11"/>
        <v/>
      </c>
      <c r="Q77" s="141" t="str">
        <f t="shared" si="12"/>
        <v/>
      </c>
      <c r="U77" s="141">
        <v>3832</v>
      </c>
      <c r="V77" s="141" t="s">
        <v>199</v>
      </c>
      <c r="X77" s="141" t="str">
        <f t="shared" si="13"/>
        <v>38</v>
      </c>
      <c r="Y77" s="141" t="str">
        <f t="shared" si="14"/>
        <v>383</v>
      </c>
      <c r="AA77" s="141" t="s">
        <v>868</v>
      </c>
      <c r="AB77" s="141" t="s">
        <v>869</v>
      </c>
    </row>
    <row r="78" spans="1:28">
      <c r="A78" s="151"/>
      <c r="B78" s="146" t="str">
        <f t="shared" si="8"/>
        <v/>
      </c>
      <c r="C78" s="151"/>
      <c r="D78" s="146" t="str">
        <f t="shared" si="9"/>
        <v/>
      </c>
      <c r="E78" s="186"/>
      <c r="F78" s="146" t="str">
        <f t="shared" si="10"/>
        <v/>
      </c>
      <c r="G78" s="185"/>
      <c r="H78" s="185"/>
      <c r="I78" s="185"/>
      <c r="J78" s="201"/>
      <c r="K78" s="200"/>
      <c r="L78" s="200"/>
      <c r="M78" s="201"/>
      <c r="N78" s="201"/>
      <c r="P78" s="141" t="str">
        <f t="shared" si="11"/>
        <v/>
      </c>
      <c r="Q78" s="141" t="str">
        <f t="shared" si="12"/>
        <v/>
      </c>
      <c r="U78" s="141">
        <v>3833</v>
      </c>
      <c r="V78" s="141" t="s">
        <v>160</v>
      </c>
      <c r="X78" s="141" t="str">
        <f t="shared" si="13"/>
        <v>38</v>
      </c>
      <c r="Y78" s="141" t="str">
        <f t="shared" si="14"/>
        <v>383</v>
      </c>
      <c r="AA78" s="141" t="s">
        <v>870</v>
      </c>
      <c r="AB78" s="141" t="s">
        <v>871</v>
      </c>
    </row>
    <row r="79" spans="1:28">
      <c r="A79" s="151"/>
      <c r="B79" s="146" t="str">
        <f t="shared" si="8"/>
        <v/>
      </c>
      <c r="C79" s="151"/>
      <c r="D79" s="146" t="str">
        <f t="shared" si="9"/>
        <v/>
      </c>
      <c r="E79" s="186"/>
      <c r="F79" s="146" t="str">
        <f t="shared" si="10"/>
        <v/>
      </c>
      <c r="G79" s="185"/>
      <c r="H79" s="185"/>
      <c r="I79" s="185"/>
      <c r="J79" s="201"/>
      <c r="K79" s="200"/>
      <c r="L79" s="200"/>
      <c r="M79" s="201"/>
      <c r="N79" s="201"/>
      <c r="P79" s="141" t="str">
        <f t="shared" si="11"/>
        <v/>
      </c>
      <c r="Q79" s="141" t="str">
        <f t="shared" si="12"/>
        <v/>
      </c>
      <c r="U79" s="141">
        <v>3834</v>
      </c>
      <c r="V79" s="141" t="s">
        <v>161</v>
      </c>
      <c r="X79" s="141" t="str">
        <f t="shared" si="13"/>
        <v>38</v>
      </c>
      <c r="Y79" s="141" t="str">
        <f t="shared" si="14"/>
        <v>383</v>
      </c>
      <c r="AA79" s="141" t="s">
        <v>872</v>
      </c>
      <c r="AB79" s="141" t="s">
        <v>873</v>
      </c>
    </row>
    <row r="80" spans="1:28">
      <c r="A80" s="151"/>
      <c r="B80" s="146" t="str">
        <f t="shared" si="8"/>
        <v/>
      </c>
      <c r="C80" s="151"/>
      <c r="D80" s="146" t="str">
        <f t="shared" si="9"/>
        <v/>
      </c>
      <c r="E80" s="186"/>
      <c r="F80" s="146" t="str">
        <f t="shared" si="10"/>
        <v/>
      </c>
      <c r="G80" s="185"/>
      <c r="H80" s="185"/>
      <c r="I80" s="185"/>
      <c r="J80" s="201"/>
      <c r="K80" s="200"/>
      <c r="L80" s="200"/>
      <c r="M80" s="201"/>
      <c r="N80" s="201"/>
      <c r="P80" s="141" t="str">
        <f t="shared" si="11"/>
        <v/>
      </c>
      <c r="Q80" s="141" t="str">
        <f t="shared" si="12"/>
        <v/>
      </c>
      <c r="U80" s="141">
        <v>3835</v>
      </c>
      <c r="V80" s="141" t="s">
        <v>162</v>
      </c>
      <c r="X80" s="141" t="str">
        <f t="shared" si="13"/>
        <v>38</v>
      </c>
      <c r="Y80" s="141" t="str">
        <f t="shared" si="14"/>
        <v>383</v>
      </c>
      <c r="AA80" s="141" t="s">
        <v>874</v>
      </c>
      <c r="AB80" s="141" t="s">
        <v>875</v>
      </c>
    </row>
    <row r="81" spans="1:28">
      <c r="A81" s="151"/>
      <c r="B81" s="146" t="str">
        <f t="shared" si="8"/>
        <v/>
      </c>
      <c r="C81" s="151"/>
      <c r="D81" s="146" t="str">
        <f t="shared" si="9"/>
        <v/>
      </c>
      <c r="E81" s="186"/>
      <c r="F81" s="146" t="str">
        <f t="shared" si="10"/>
        <v/>
      </c>
      <c r="G81" s="185"/>
      <c r="H81" s="185"/>
      <c r="I81" s="185"/>
      <c r="J81" s="201"/>
      <c r="K81" s="200"/>
      <c r="L81" s="200"/>
      <c r="M81" s="201"/>
      <c r="N81" s="201"/>
      <c r="P81" s="141" t="str">
        <f t="shared" si="11"/>
        <v/>
      </c>
      <c r="Q81" s="141" t="str">
        <f t="shared" si="12"/>
        <v/>
      </c>
      <c r="U81" s="197">
        <v>3861</v>
      </c>
      <c r="V81" s="198" t="s">
        <v>788</v>
      </c>
      <c r="W81" s="197"/>
      <c r="X81" s="197" t="str">
        <f t="shared" si="13"/>
        <v>38</v>
      </c>
      <c r="Y81" s="197" t="str">
        <f t="shared" si="14"/>
        <v>386</v>
      </c>
      <c r="AA81" s="141" t="s">
        <v>876</v>
      </c>
      <c r="AB81" s="141" t="s">
        <v>877</v>
      </c>
    </row>
    <row r="82" spans="1:28">
      <c r="A82" s="151"/>
      <c r="B82" s="146" t="str">
        <f t="shared" si="8"/>
        <v/>
      </c>
      <c r="C82" s="151"/>
      <c r="D82" s="146" t="str">
        <f t="shared" si="9"/>
        <v/>
      </c>
      <c r="E82" s="186"/>
      <c r="F82" s="146" t="str">
        <f t="shared" si="10"/>
        <v/>
      </c>
      <c r="G82" s="185"/>
      <c r="H82" s="185"/>
      <c r="I82" s="185"/>
      <c r="J82" s="201"/>
      <c r="K82" s="200"/>
      <c r="L82" s="200"/>
      <c r="M82" s="201"/>
      <c r="N82" s="201"/>
      <c r="P82" s="141" t="str">
        <f t="shared" si="11"/>
        <v/>
      </c>
      <c r="Q82" s="141" t="str">
        <f t="shared" si="12"/>
        <v/>
      </c>
      <c r="U82" s="196">
        <v>3862</v>
      </c>
      <c r="V82" s="141" t="s">
        <v>789</v>
      </c>
      <c r="X82" s="141" t="str">
        <f t="shared" si="13"/>
        <v>38</v>
      </c>
      <c r="Y82" s="141" t="str">
        <f t="shared" si="14"/>
        <v>386</v>
      </c>
      <c r="AA82" s="141" t="s">
        <v>878</v>
      </c>
      <c r="AB82" s="141" t="s">
        <v>879</v>
      </c>
    </row>
    <row r="83" spans="1:28">
      <c r="A83" s="151"/>
      <c r="B83" s="146" t="str">
        <f t="shared" si="8"/>
        <v/>
      </c>
      <c r="C83" s="151"/>
      <c r="D83" s="146" t="str">
        <f t="shared" si="9"/>
        <v/>
      </c>
      <c r="E83" s="186"/>
      <c r="F83" s="146" t="str">
        <f t="shared" si="10"/>
        <v/>
      </c>
      <c r="G83" s="185"/>
      <c r="H83" s="185"/>
      <c r="I83" s="185"/>
      <c r="J83" s="201"/>
      <c r="K83" s="200"/>
      <c r="L83" s="200"/>
      <c r="M83" s="201"/>
      <c r="N83" s="201"/>
      <c r="P83" s="141" t="str">
        <f t="shared" si="11"/>
        <v/>
      </c>
      <c r="Q83" s="141" t="str">
        <f t="shared" si="12"/>
        <v/>
      </c>
      <c r="U83" s="196">
        <v>3863</v>
      </c>
      <c r="V83" s="141" t="s">
        <v>790</v>
      </c>
      <c r="X83" s="141" t="str">
        <f t="shared" si="13"/>
        <v>38</v>
      </c>
      <c r="Y83" s="141" t="str">
        <f t="shared" si="14"/>
        <v>386</v>
      </c>
      <c r="AA83" s="141" t="s">
        <v>880</v>
      </c>
      <c r="AB83" s="141" t="s">
        <v>881</v>
      </c>
    </row>
    <row r="84" spans="1:28">
      <c r="A84" s="151"/>
      <c r="B84" s="146" t="str">
        <f t="shared" si="8"/>
        <v/>
      </c>
      <c r="C84" s="151"/>
      <c r="D84" s="146" t="str">
        <f t="shared" si="9"/>
        <v/>
      </c>
      <c r="E84" s="186"/>
      <c r="F84" s="146" t="str">
        <f t="shared" si="10"/>
        <v/>
      </c>
      <c r="G84" s="185"/>
      <c r="H84" s="185"/>
      <c r="I84" s="185"/>
      <c r="J84" s="201"/>
      <c r="K84" s="200"/>
      <c r="L84" s="200"/>
      <c r="M84" s="201"/>
      <c r="N84" s="201"/>
      <c r="P84" s="141" t="str">
        <f t="shared" si="11"/>
        <v/>
      </c>
      <c r="Q84" s="141" t="str">
        <f t="shared" si="12"/>
        <v/>
      </c>
      <c r="U84" s="141">
        <v>4111</v>
      </c>
      <c r="V84" s="141" t="s">
        <v>163</v>
      </c>
      <c r="X84" s="141" t="str">
        <f t="shared" si="13"/>
        <v>41</v>
      </c>
      <c r="Y84" s="141" t="str">
        <f t="shared" si="14"/>
        <v>411</v>
      </c>
      <c r="AA84" s="141" t="s">
        <v>882</v>
      </c>
      <c r="AB84" s="141" t="s">
        <v>883</v>
      </c>
    </row>
    <row r="85" spans="1:28">
      <c r="A85" s="151"/>
      <c r="B85" s="146" t="str">
        <f t="shared" si="8"/>
        <v/>
      </c>
      <c r="C85" s="151"/>
      <c r="D85" s="146" t="str">
        <f t="shared" si="9"/>
        <v/>
      </c>
      <c r="E85" s="186"/>
      <c r="F85" s="146" t="str">
        <f t="shared" si="10"/>
        <v/>
      </c>
      <c r="G85" s="185"/>
      <c r="H85" s="185"/>
      <c r="I85" s="185"/>
      <c r="J85" s="201"/>
      <c r="K85" s="200"/>
      <c r="L85" s="200"/>
      <c r="M85" s="201"/>
      <c r="N85" s="201"/>
      <c r="P85" s="141" t="str">
        <f t="shared" si="11"/>
        <v/>
      </c>
      <c r="Q85" s="141" t="str">
        <f t="shared" si="12"/>
        <v/>
      </c>
      <c r="U85" s="141">
        <v>4113</v>
      </c>
      <c r="V85" s="141" t="s">
        <v>197</v>
      </c>
      <c r="X85" s="141" t="str">
        <f t="shared" si="13"/>
        <v>41</v>
      </c>
      <c r="Y85" s="141" t="str">
        <f t="shared" si="14"/>
        <v>411</v>
      </c>
      <c r="AA85" s="141" t="s">
        <v>884</v>
      </c>
      <c r="AB85" s="141" t="s">
        <v>885</v>
      </c>
    </row>
    <row r="86" spans="1:28">
      <c r="A86" s="151"/>
      <c r="B86" s="146" t="str">
        <f t="shared" si="8"/>
        <v/>
      </c>
      <c r="C86" s="151"/>
      <c r="D86" s="146" t="str">
        <f t="shared" si="9"/>
        <v/>
      </c>
      <c r="E86" s="186"/>
      <c r="F86" s="146" t="str">
        <f t="shared" si="10"/>
        <v/>
      </c>
      <c r="G86" s="185"/>
      <c r="H86" s="185"/>
      <c r="I86" s="185"/>
      <c r="J86" s="201"/>
      <c r="K86" s="200"/>
      <c r="L86" s="200"/>
      <c r="M86" s="201"/>
      <c r="N86" s="201"/>
      <c r="P86" s="141" t="str">
        <f t="shared" si="11"/>
        <v/>
      </c>
      <c r="Q86" s="141" t="str">
        <f t="shared" si="12"/>
        <v/>
      </c>
      <c r="U86" s="141">
        <v>4122</v>
      </c>
      <c r="V86" s="141" t="s">
        <v>164</v>
      </c>
      <c r="X86" s="141" t="str">
        <f t="shared" si="13"/>
        <v>41</v>
      </c>
      <c r="Y86" s="141" t="str">
        <f t="shared" si="14"/>
        <v>412</v>
      </c>
      <c r="AA86" s="141" t="s">
        <v>886</v>
      </c>
      <c r="AB86" s="141" t="s">
        <v>887</v>
      </c>
    </row>
    <row r="87" spans="1:28">
      <c r="A87" s="151"/>
      <c r="B87" s="146" t="str">
        <f t="shared" si="8"/>
        <v/>
      </c>
      <c r="C87" s="151"/>
      <c r="D87" s="146" t="str">
        <f t="shared" si="9"/>
        <v/>
      </c>
      <c r="E87" s="186"/>
      <c r="F87" s="146" t="str">
        <f t="shared" si="10"/>
        <v/>
      </c>
      <c r="G87" s="185"/>
      <c r="H87" s="185"/>
      <c r="I87" s="185"/>
      <c r="J87" s="201"/>
      <c r="K87" s="200"/>
      <c r="L87" s="200"/>
      <c r="M87" s="201"/>
      <c r="N87" s="201"/>
      <c r="P87" s="141" t="str">
        <f t="shared" si="11"/>
        <v/>
      </c>
      <c r="Q87" s="141" t="str">
        <f t="shared" si="12"/>
        <v/>
      </c>
      <c r="U87" s="141">
        <v>4123</v>
      </c>
      <c r="V87" s="141" t="s">
        <v>135</v>
      </c>
      <c r="X87" s="141" t="str">
        <f t="shared" si="13"/>
        <v>41</v>
      </c>
      <c r="Y87" s="141" t="str">
        <f t="shared" si="14"/>
        <v>412</v>
      </c>
      <c r="AA87" s="141" t="s">
        <v>888</v>
      </c>
      <c r="AB87" s="141" t="s">
        <v>889</v>
      </c>
    </row>
    <row r="88" spans="1:28">
      <c r="A88" s="151"/>
      <c r="B88" s="146" t="str">
        <f t="shared" si="8"/>
        <v/>
      </c>
      <c r="C88" s="151"/>
      <c r="D88" s="146" t="str">
        <f t="shared" si="9"/>
        <v/>
      </c>
      <c r="E88" s="186"/>
      <c r="F88" s="146" t="str">
        <f t="shared" si="10"/>
        <v/>
      </c>
      <c r="G88" s="185"/>
      <c r="H88" s="185"/>
      <c r="I88" s="185"/>
      <c r="J88" s="201"/>
      <c r="K88" s="200"/>
      <c r="L88" s="200"/>
      <c r="M88" s="201"/>
      <c r="N88" s="201"/>
      <c r="P88" s="141" t="str">
        <f t="shared" si="11"/>
        <v/>
      </c>
      <c r="Q88" s="141" t="str">
        <f t="shared" si="12"/>
        <v/>
      </c>
      <c r="U88" s="141">
        <v>4124</v>
      </c>
      <c r="V88" s="141" t="s">
        <v>121</v>
      </c>
      <c r="X88" s="141" t="str">
        <f t="shared" si="13"/>
        <v>41</v>
      </c>
      <c r="Y88" s="141" t="str">
        <f t="shared" si="14"/>
        <v>412</v>
      </c>
      <c r="AA88" s="141" t="s">
        <v>890</v>
      </c>
      <c r="AB88" s="141" t="s">
        <v>891</v>
      </c>
    </row>
    <row r="89" spans="1:28">
      <c r="A89" s="151"/>
      <c r="B89" s="146" t="str">
        <f t="shared" si="8"/>
        <v/>
      </c>
      <c r="C89" s="151"/>
      <c r="D89" s="146" t="str">
        <f t="shared" si="9"/>
        <v/>
      </c>
      <c r="E89" s="186"/>
      <c r="F89" s="146" t="str">
        <f t="shared" si="10"/>
        <v/>
      </c>
      <c r="G89" s="185"/>
      <c r="H89" s="185"/>
      <c r="I89" s="185"/>
      <c r="J89" s="201"/>
      <c r="K89" s="200"/>
      <c r="L89" s="200"/>
      <c r="M89" s="201"/>
      <c r="N89" s="201"/>
      <c r="P89" s="141" t="str">
        <f t="shared" si="11"/>
        <v/>
      </c>
      <c r="Q89" s="141" t="str">
        <f t="shared" si="12"/>
        <v/>
      </c>
      <c r="U89" s="141">
        <v>4126</v>
      </c>
      <c r="V89" s="141" t="s">
        <v>165</v>
      </c>
      <c r="X89" s="141" t="str">
        <f t="shared" si="13"/>
        <v>41</v>
      </c>
      <c r="Y89" s="141" t="str">
        <f t="shared" si="14"/>
        <v>412</v>
      </c>
      <c r="AA89" s="141" t="s">
        <v>1618</v>
      </c>
      <c r="AB89" s="141" t="s">
        <v>1619</v>
      </c>
    </row>
    <row r="90" spans="1:28">
      <c r="A90" s="151"/>
      <c r="B90" s="146" t="str">
        <f t="shared" si="8"/>
        <v/>
      </c>
      <c r="C90" s="151"/>
      <c r="D90" s="146" t="str">
        <f t="shared" si="9"/>
        <v/>
      </c>
      <c r="E90" s="186"/>
      <c r="F90" s="146" t="str">
        <f t="shared" si="10"/>
        <v/>
      </c>
      <c r="G90" s="185"/>
      <c r="H90" s="185"/>
      <c r="I90" s="185"/>
      <c r="J90" s="201"/>
      <c r="K90" s="200"/>
      <c r="L90" s="200"/>
      <c r="M90" s="201"/>
      <c r="N90" s="201"/>
      <c r="P90" s="141" t="str">
        <f t="shared" si="11"/>
        <v/>
      </c>
      <c r="Q90" s="141" t="str">
        <f t="shared" si="12"/>
        <v/>
      </c>
      <c r="U90" s="141">
        <v>4211</v>
      </c>
      <c r="V90" s="141" t="s">
        <v>179</v>
      </c>
      <c r="X90" s="141" t="str">
        <f t="shared" si="13"/>
        <v>42</v>
      </c>
      <c r="Y90" s="141" t="str">
        <f t="shared" si="14"/>
        <v>421</v>
      </c>
      <c r="AA90" s="141" t="s">
        <v>1620</v>
      </c>
      <c r="AB90" s="141" t="s">
        <v>1621</v>
      </c>
    </row>
    <row r="91" spans="1:28">
      <c r="A91" s="151"/>
      <c r="B91" s="146" t="str">
        <f t="shared" si="8"/>
        <v/>
      </c>
      <c r="C91" s="151"/>
      <c r="D91" s="146" t="str">
        <f t="shared" si="9"/>
        <v/>
      </c>
      <c r="E91" s="186"/>
      <c r="F91" s="146" t="str">
        <f t="shared" si="10"/>
        <v/>
      </c>
      <c r="G91" s="185"/>
      <c r="H91" s="185"/>
      <c r="I91" s="185"/>
      <c r="J91" s="201"/>
      <c r="K91" s="200"/>
      <c r="L91" s="200"/>
      <c r="M91" s="201"/>
      <c r="N91" s="201"/>
      <c r="P91" s="141" t="str">
        <f t="shared" si="11"/>
        <v/>
      </c>
      <c r="Q91" s="141" t="str">
        <f t="shared" si="12"/>
        <v/>
      </c>
      <c r="U91" s="141">
        <v>4212</v>
      </c>
      <c r="V91" s="141" t="s">
        <v>67</v>
      </c>
      <c r="X91" s="141" t="str">
        <f t="shared" si="13"/>
        <v>42</v>
      </c>
      <c r="Y91" s="141" t="str">
        <f t="shared" si="14"/>
        <v>421</v>
      </c>
      <c r="AA91" s="141" t="s">
        <v>1622</v>
      </c>
      <c r="AB91" s="141" t="s">
        <v>1623</v>
      </c>
    </row>
    <row r="92" spans="1:28">
      <c r="A92" s="151"/>
      <c r="B92" s="146" t="str">
        <f t="shared" si="8"/>
        <v/>
      </c>
      <c r="C92" s="151"/>
      <c r="D92" s="146" t="str">
        <f t="shared" si="9"/>
        <v/>
      </c>
      <c r="E92" s="186"/>
      <c r="F92" s="146" t="str">
        <f t="shared" si="10"/>
        <v/>
      </c>
      <c r="G92" s="185"/>
      <c r="H92" s="185"/>
      <c r="I92" s="185"/>
      <c r="J92" s="201"/>
      <c r="K92" s="200"/>
      <c r="L92" s="200"/>
      <c r="M92" s="201"/>
      <c r="N92" s="201"/>
      <c r="P92" s="141" t="str">
        <f t="shared" si="11"/>
        <v/>
      </c>
      <c r="Q92" s="141" t="str">
        <f t="shared" si="12"/>
        <v/>
      </c>
      <c r="U92" s="141">
        <v>4213</v>
      </c>
      <c r="V92" s="141" t="s">
        <v>166</v>
      </c>
      <c r="X92" s="141" t="str">
        <f t="shared" si="13"/>
        <v>42</v>
      </c>
      <c r="Y92" s="141" t="str">
        <f t="shared" si="14"/>
        <v>421</v>
      </c>
      <c r="AA92" s="141" t="s">
        <v>1624</v>
      </c>
      <c r="AB92" s="141" t="s">
        <v>1625</v>
      </c>
    </row>
    <row r="93" spans="1:28">
      <c r="A93" s="151"/>
      <c r="B93" s="146" t="str">
        <f t="shared" si="8"/>
        <v/>
      </c>
      <c r="C93" s="151"/>
      <c r="D93" s="146" t="str">
        <f t="shared" si="9"/>
        <v/>
      </c>
      <c r="E93" s="186"/>
      <c r="F93" s="146" t="str">
        <f t="shared" si="10"/>
        <v/>
      </c>
      <c r="G93" s="185"/>
      <c r="H93" s="185"/>
      <c r="I93" s="185"/>
      <c r="J93" s="201"/>
      <c r="K93" s="200"/>
      <c r="L93" s="200"/>
      <c r="M93" s="201"/>
      <c r="N93" s="201"/>
      <c r="P93" s="141" t="str">
        <f t="shared" si="11"/>
        <v/>
      </c>
      <c r="Q93" s="141" t="str">
        <f t="shared" si="12"/>
        <v/>
      </c>
      <c r="U93" s="141">
        <v>4214</v>
      </c>
      <c r="V93" s="141" t="s">
        <v>167</v>
      </c>
      <c r="X93" s="141" t="str">
        <f t="shared" si="13"/>
        <v>42</v>
      </c>
      <c r="Y93" s="141" t="str">
        <f t="shared" si="14"/>
        <v>421</v>
      </c>
      <c r="AA93" s="141" t="s">
        <v>1626</v>
      </c>
      <c r="AB93" s="141" t="s">
        <v>1627</v>
      </c>
    </row>
    <row r="94" spans="1:28">
      <c r="A94" s="151"/>
      <c r="B94" s="146" t="str">
        <f t="shared" si="8"/>
        <v/>
      </c>
      <c r="C94" s="151"/>
      <c r="D94" s="146" t="str">
        <f t="shared" si="9"/>
        <v/>
      </c>
      <c r="E94" s="186"/>
      <c r="F94" s="146" t="str">
        <f t="shared" si="10"/>
        <v/>
      </c>
      <c r="G94" s="185"/>
      <c r="H94" s="185"/>
      <c r="I94" s="185"/>
      <c r="J94" s="201"/>
      <c r="K94" s="200"/>
      <c r="L94" s="200"/>
      <c r="M94" s="201"/>
      <c r="N94" s="201"/>
      <c r="P94" s="141" t="str">
        <f t="shared" si="11"/>
        <v/>
      </c>
      <c r="Q94" s="141" t="str">
        <f t="shared" si="12"/>
        <v/>
      </c>
      <c r="U94" s="141">
        <v>4221</v>
      </c>
      <c r="V94" s="141" t="s">
        <v>102</v>
      </c>
      <c r="X94" s="141" t="str">
        <f t="shared" si="13"/>
        <v>42</v>
      </c>
      <c r="Y94" s="141" t="str">
        <f t="shared" si="14"/>
        <v>422</v>
      </c>
      <c r="AA94" s="141" t="s">
        <v>1628</v>
      </c>
      <c r="AB94" s="141" t="s">
        <v>1629</v>
      </c>
    </row>
    <row r="95" spans="1:28">
      <c r="A95" s="151"/>
      <c r="B95" s="146" t="str">
        <f t="shared" si="8"/>
        <v/>
      </c>
      <c r="C95" s="151"/>
      <c r="D95" s="146" t="str">
        <f t="shared" si="9"/>
        <v/>
      </c>
      <c r="E95" s="186"/>
      <c r="F95" s="146" t="str">
        <f t="shared" si="10"/>
        <v/>
      </c>
      <c r="G95" s="185"/>
      <c r="H95" s="185"/>
      <c r="I95" s="185"/>
      <c r="J95" s="201"/>
      <c r="K95" s="200"/>
      <c r="L95" s="200"/>
      <c r="M95" s="201"/>
      <c r="N95" s="201"/>
      <c r="P95" s="141" t="str">
        <f t="shared" si="11"/>
        <v/>
      </c>
      <c r="Q95" s="141" t="str">
        <f t="shared" si="12"/>
        <v/>
      </c>
      <c r="U95" s="141">
        <v>4222</v>
      </c>
      <c r="V95" s="141" t="s">
        <v>113</v>
      </c>
      <c r="X95" s="141" t="str">
        <f t="shared" si="13"/>
        <v>42</v>
      </c>
      <c r="Y95" s="141" t="str">
        <f t="shared" si="14"/>
        <v>422</v>
      </c>
      <c r="AA95" s="141" t="s">
        <v>1630</v>
      </c>
      <c r="AB95" s="141" t="s">
        <v>1631</v>
      </c>
    </row>
    <row r="96" spans="1:28">
      <c r="A96" s="151"/>
      <c r="B96" s="146" t="str">
        <f t="shared" si="8"/>
        <v/>
      </c>
      <c r="C96" s="151"/>
      <c r="D96" s="146" t="str">
        <f t="shared" si="9"/>
        <v/>
      </c>
      <c r="E96" s="186"/>
      <c r="F96" s="146" t="str">
        <f t="shared" si="10"/>
        <v/>
      </c>
      <c r="G96" s="185"/>
      <c r="H96" s="185"/>
      <c r="I96" s="185"/>
      <c r="J96" s="201"/>
      <c r="K96" s="200"/>
      <c r="L96" s="200"/>
      <c r="M96" s="201"/>
      <c r="N96" s="201"/>
      <c r="P96" s="141" t="str">
        <f t="shared" si="11"/>
        <v/>
      </c>
      <c r="Q96" s="141" t="str">
        <f t="shared" si="12"/>
        <v/>
      </c>
      <c r="U96" s="141">
        <v>4223</v>
      </c>
      <c r="V96" s="141" t="s">
        <v>126</v>
      </c>
      <c r="X96" s="141" t="str">
        <f t="shared" si="13"/>
        <v>42</v>
      </c>
      <c r="Y96" s="141" t="str">
        <f t="shared" si="14"/>
        <v>422</v>
      </c>
      <c r="AA96" s="141" t="s">
        <v>1632</v>
      </c>
      <c r="AB96" s="141" t="s">
        <v>1633</v>
      </c>
    </row>
    <row r="97" spans="1:28">
      <c r="A97" s="151"/>
      <c r="B97" s="146" t="str">
        <f t="shared" si="8"/>
        <v/>
      </c>
      <c r="C97" s="151"/>
      <c r="D97" s="146" t="str">
        <f t="shared" si="9"/>
        <v/>
      </c>
      <c r="E97" s="186"/>
      <c r="F97" s="146" t="str">
        <f t="shared" si="10"/>
        <v/>
      </c>
      <c r="G97" s="185"/>
      <c r="H97" s="185"/>
      <c r="I97" s="185"/>
      <c r="J97" s="201"/>
      <c r="K97" s="200"/>
      <c r="L97" s="200"/>
      <c r="M97" s="201"/>
      <c r="N97" s="201"/>
      <c r="P97" s="141" t="str">
        <f t="shared" si="11"/>
        <v/>
      </c>
      <c r="Q97" s="141" t="str">
        <f t="shared" si="12"/>
        <v/>
      </c>
      <c r="U97" s="141">
        <v>4224</v>
      </c>
      <c r="V97" s="141" t="s">
        <v>119</v>
      </c>
      <c r="X97" s="141" t="str">
        <f t="shared" si="13"/>
        <v>42</v>
      </c>
      <c r="Y97" s="141" t="str">
        <f t="shared" si="14"/>
        <v>422</v>
      </c>
      <c r="AA97" s="141" t="s">
        <v>1634</v>
      </c>
      <c r="AB97" s="141" t="s">
        <v>1635</v>
      </c>
    </row>
    <row r="98" spans="1:28">
      <c r="A98" s="151"/>
      <c r="B98" s="146" t="str">
        <f t="shared" si="8"/>
        <v/>
      </c>
      <c r="C98" s="151"/>
      <c r="D98" s="146" t="str">
        <f t="shared" si="9"/>
        <v/>
      </c>
      <c r="E98" s="186"/>
      <c r="F98" s="146" t="str">
        <f t="shared" si="10"/>
        <v/>
      </c>
      <c r="G98" s="185"/>
      <c r="H98" s="185"/>
      <c r="I98" s="185"/>
      <c r="J98" s="201"/>
      <c r="K98" s="200"/>
      <c r="L98" s="200"/>
      <c r="M98" s="201"/>
      <c r="N98" s="201"/>
      <c r="P98" s="141" t="str">
        <f t="shared" si="11"/>
        <v/>
      </c>
      <c r="Q98" s="141" t="str">
        <f t="shared" si="12"/>
        <v/>
      </c>
      <c r="U98" s="141">
        <v>4225</v>
      </c>
      <c r="V98" s="141" t="s">
        <v>123</v>
      </c>
      <c r="X98" s="141" t="str">
        <f t="shared" si="13"/>
        <v>42</v>
      </c>
      <c r="Y98" s="141" t="str">
        <f t="shared" si="14"/>
        <v>422</v>
      </c>
      <c r="AA98" s="141" t="s">
        <v>1636</v>
      </c>
      <c r="AB98" s="141" t="s">
        <v>1637</v>
      </c>
    </row>
    <row r="99" spans="1:28">
      <c r="A99" s="151"/>
      <c r="B99" s="146" t="str">
        <f t="shared" si="8"/>
        <v/>
      </c>
      <c r="C99" s="151"/>
      <c r="D99" s="146" t="str">
        <f t="shared" si="9"/>
        <v/>
      </c>
      <c r="E99" s="186"/>
      <c r="F99" s="146" t="str">
        <f t="shared" si="10"/>
        <v/>
      </c>
      <c r="G99" s="185"/>
      <c r="H99" s="185"/>
      <c r="I99" s="185"/>
      <c r="J99" s="201"/>
      <c r="K99" s="200"/>
      <c r="L99" s="200"/>
      <c r="M99" s="201"/>
      <c r="N99" s="201"/>
      <c r="P99" s="141" t="str">
        <f t="shared" si="11"/>
        <v/>
      </c>
      <c r="Q99" s="141" t="str">
        <f t="shared" si="12"/>
        <v/>
      </c>
      <c r="U99" s="141">
        <v>4226</v>
      </c>
      <c r="V99" s="141" t="s">
        <v>168</v>
      </c>
      <c r="X99" s="141" t="str">
        <f t="shared" si="13"/>
        <v>42</v>
      </c>
      <c r="Y99" s="141" t="str">
        <f t="shared" si="14"/>
        <v>422</v>
      </c>
      <c r="AA99" s="141" t="s">
        <v>1638</v>
      </c>
      <c r="AB99" s="141" t="s">
        <v>1639</v>
      </c>
    </row>
    <row r="100" spans="1:28">
      <c r="A100" s="151"/>
      <c r="B100" s="146" t="str">
        <f t="shared" si="8"/>
        <v/>
      </c>
      <c r="C100" s="151"/>
      <c r="D100" s="146" t="str">
        <f t="shared" si="9"/>
        <v/>
      </c>
      <c r="E100" s="186"/>
      <c r="F100" s="146" t="str">
        <f t="shared" si="10"/>
        <v/>
      </c>
      <c r="G100" s="185"/>
      <c r="H100" s="185"/>
      <c r="I100" s="185"/>
      <c r="J100" s="201"/>
      <c r="K100" s="200"/>
      <c r="L100" s="200"/>
      <c r="M100" s="201"/>
      <c r="N100" s="201"/>
      <c r="P100" s="141" t="str">
        <f t="shared" si="11"/>
        <v/>
      </c>
      <c r="Q100" s="141" t="str">
        <f t="shared" si="12"/>
        <v/>
      </c>
      <c r="U100" s="141">
        <v>4227</v>
      </c>
      <c r="V100" s="141" t="s">
        <v>136</v>
      </c>
      <c r="X100" s="141" t="str">
        <f t="shared" si="13"/>
        <v>42</v>
      </c>
      <c r="Y100" s="141" t="str">
        <f t="shared" si="14"/>
        <v>422</v>
      </c>
      <c r="AA100" s="141" t="s">
        <v>1640</v>
      </c>
      <c r="AB100" s="141" t="s">
        <v>1641</v>
      </c>
    </row>
    <row r="101" spans="1:28">
      <c r="A101" s="151"/>
      <c r="B101" s="146" t="str">
        <f t="shared" si="8"/>
        <v/>
      </c>
      <c r="C101" s="151"/>
      <c r="D101" s="146" t="str">
        <f t="shared" si="9"/>
        <v/>
      </c>
      <c r="E101" s="186"/>
      <c r="F101" s="146" t="str">
        <f t="shared" si="10"/>
        <v/>
      </c>
      <c r="G101" s="185"/>
      <c r="H101" s="185"/>
      <c r="I101" s="185"/>
      <c r="J101" s="201"/>
      <c r="K101" s="200"/>
      <c r="L101" s="200"/>
      <c r="M101" s="201"/>
      <c r="N101" s="201"/>
      <c r="P101" s="141" t="str">
        <f t="shared" si="11"/>
        <v/>
      </c>
      <c r="Q101" s="141" t="str">
        <f t="shared" si="12"/>
        <v/>
      </c>
      <c r="U101" s="141">
        <v>4231</v>
      </c>
      <c r="V101" s="141" t="s">
        <v>169</v>
      </c>
      <c r="X101" s="141" t="str">
        <f t="shared" si="13"/>
        <v>42</v>
      </c>
      <c r="Y101" s="141" t="str">
        <f t="shared" si="14"/>
        <v>423</v>
      </c>
      <c r="AA101" s="141" t="s">
        <v>1642</v>
      </c>
      <c r="AB101" s="141" t="s">
        <v>1643</v>
      </c>
    </row>
    <row r="102" spans="1:28">
      <c r="A102" s="151"/>
      <c r="B102" s="146" t="str">
        <f t="shared" si="8"/>
        <v/>
      </c>
      <c r="C102" s="151"/>
      <c r="D102" s="146" t="str">
        <f t="shared" si="9"/>
        <v/>
      </c>
      <c r="E102" s="186"/>
      <c r="F102" s="146" t="str">
        <f t="shared" si="10"/>
        <v/>
      </c>
      <c r="G102" s="185"/>
      <c r="H102" s="185"/>
      <c r="I102" s="185"/>
      <c r="J102" s="201"/>
      <c r="K102" s="200"/>
      <c r="L102" s="200"/>
      <c r="M102" s="201"/>
      <c r="N102" s="201"/>
      <c r="P102" s="141" t="str">
        <f t="shared" si="11"/>
        <v/>
      </c>
      <c r="Q102" s="141" t="str">
        <f t="shared" si="12"/>
        <v/>
      </c>
      <c r="U102" s="141">
        <v>4233</v>
      </c>
      <c r="V102" s="141" t="s">
        <v>177</v>
      </c>
      <c r="X102" s="141" t="str">
        <f t="shared" si="13"/>
        <v>42</v>
      </c>
      <c r="Y102" s="141" t="str">
        <f t="shared" si="14"/>
        <v>423</v>
      </c>
      <c r="AA102" s="141" t="s">
        <v>1644</v>
      </c>
      <c r="AB102" s="141" t="s">
        <v>1645</v>
      </c>
    </row>
    <row r="103" spans="1:28">
      <c r="A103" s="151"/>
      <c r="B103" s="146" t="str">
        <f t="shared" si="8"/>
        <v/>
      </c>
      <c r="C103" s="151"/>
      <c r="D103" s="146" t="str">
        <f t="shared" si="9"/>
        <v/>
      </c>
      <c r="E103" s="186"/>
      <c r="F103" s="146" t="str">
        <f t="shared" si="10"/>
        <v/>
      </c>
      <c r="G103" s="185"/>
      <c r="H103" s="185"/>
      <c r="I103" s="185"/>
      <c r="J103" s="201"/>
      <c r="K103" s="200"/>
      <c r="L103" s="200"/>
      <c r="M103" s="201"/>
      <c r="N103" s="201"/>
      <c r="P103" s="141" t="str">
        <f t="shared" si="11"/>
        <v/>
      </c>
      <c r="Q103" s="141" t="str">
        <f t="shared" si="12"/>
        <v/>
      </c>
      <c r="U103" s="141">
        <v>4241</v>
      </c>
      <c r="V103" s="141" t="s">
        <v>114</v>
      </c>
      <c r="X103" s="141" t="str">
        <f t="shared" si="13"/>
        <v>42</v>
      </c>
      <c r="Y103" s="141" t="str">
        <f t="shared" si="14"/>
        <v>424</v>
      </c>
      <c r="AA103" s="141" t="s">
        <v>1646</v>
      </c>
      <c r="AB103" s="141" t="s">
        <v>1647</v>
      </c>
    </row>
    <row r="104" spans="1:28">
      <c r="A104" s="151"/>
      <c r="B104" s="146" t="str">
        <f t="shared" si="8"/>
        <v/>
      </c>
      <c r="C104" s="151"/>
      <c r="D104" s="146" t="str">
        <f t="shared" si="9"/>
        <v/>
      </c>
      <c r="E104" s="186"/>
      <c r="F104" s="146" t="str">
        <f t="shared" si="10"/>
        <v/>
      </c>
      <c r="G104" s="185"/>
      <c r="H104" s="185"/>
      <c r="I104" s="185"/>
      <c r="J104" s="201"/>
      <c r="K104" s="200"/>
      <c r="L104" s="200"/>
      <c r="M104" s="201"/>
      <c r="N104" s="201"/>
      <c r="P104" s="141" t="str">
        <f t="shared" si="11"/>
        <v/>
      </c>
      <c r="Q104" s="141" t="str">
        <f t="shared" si="12"/>
        <v/>
      </c>
      <c r="U104" s="141">
        <v>4242</v>
      </c>
      <c r="V104" s="141" t="s">
        <v>146</v>
      </c>
      <c r="X104" s="141" t="str">
        <f t="shared" si="13"/>
        <v>42</v>
      </c>
      <c r="Y104" s="141" t="str">
        <f t="shared" si="14"/>
        <v>424</v>
      </c>
      <c r="AA104" s="141" t="s">
        <v>1648</v>
      </c>
      <c r="AB104" s="141" t="s">
        <v>1649</v>
      </c>
    </row>
    <row r="105" spans="1:28">
      <c r="A105" s="151"/>
      <c r="B105" s="146" t="str">
        <f t="shared" si="8"/>
        <v/>
      </c>
      <c r="C105" s="151"/>
      <c r="D105" s="146" t="str">
        <f t="shared" si="9"/>
        <v/>
      </c>
      <c r="E105" s="186"/>
      <c r="F105" s="146" t="str">
        <f t="shared" si="10"/>
        <v/>
      </c>
      <c r="G105" s="185"/>
      <c r="H105" s="185"/>
      <c r="I105" s="185"/>
      <c r="J105" s="201"/>
      <c r="K105" s="200"/>
      <c r="L105" s="200"/>
      <c r="M105" s="201"/>
      <c r="N105" s="201"/>
      <c r="P105" s="141" t="str">
        <f t="shared" si="11"/>
        <v/>
      </c>
      <c r="Q105" s="141" t="str">
        <f t="shared" si="12"/>
        <v/>
      </c>
      <c r="U105" s="141">
        <v>4244</v>
      </c>
      <c r="V105" s="141" t="s">
        <v>178</v>
      </c>
      <c r="X105" s="141" t="str">
        <f t="shared" si="13"/>
        <v>42</v>
      </c>
      <c r="Y105" s="141" t="str">
        <f t="shared" si="14"/>
        <v>424</v>
      </c>
      <c r="AA105" s="141" t="s">
        <v>1650</v>
      </c>
      <c r="AB105" s="141" t="s">
        <v>1651</v>
      </c>
    </row>
    <row r="106" spans="1:28">
      <c r="A106" s="151"/>
      <c r="B106" s="146" t="str">
        <f t="shared" si="8"/>
        <v/>
      </c>
      <c r="C106" s="151"/>
      <c r="D106" s="146" t="str">
        <f t="shared" si="9"/>
        <v/>
      </c>
      <c r="E106" s="186"/>
      <c r="F106" s="146" t="str">
        <f t="shared" si="10"/>
        <v/>
      </c>
      <c r="G106" s="185"/>
      <c r="H106" s="185"/>
      <c r="I106" s="185"/>
      <c r="J106" s="201"/>
      <c r="K106" s="200"/>
      <c r="L106" s="200"/>
      <c r="M106" s="201"/>
      <c r="N106" s="201"/>
      <c r="P106" s="141" t="str">
        <f t="shared" si="11"/>
        <v/>
      </c>
      <c r="Q106" s="141" t="str">
        <f t="shared" si="12"/>
        <v/>
      </c>
      <c r="U106" s="141">
        <v>4251</v>
      </c>
      <c r="V106" s="141" t="s">
        <v>170</v>
      </c>
      <c r="X106" s="141" t="str">
        <f t="shared" si="13"/>
        <v>42</v>
      </c>
      <c r="Y106" s="141" t="str">
        <f t="shared" si="14"/>
        <v>425</v>
      </c>
      <c r="AA106" s="141" t="s">
        <v>1652</v>
      </c>
      <c r="AB106" s="141" t="s">
        <v>1653</v>
      </c>
    </row>
    <row r="107" spans="1:28">
      <c r="A107" s="151"/>
      <c r="B107" s="146" t="str">
        <f t="shared" si="8"/>
        <v/>
      </c>
      <c r="C107" s="151"/>
      <c r="D107" s="146" t="str">
        <f t="shared" si="9"/>
        <v/>
      </c>
      <c r="E107" s="186"/>
      <c r="F107" s="146" t="str">
        <f t="shared" si="10"/>
        <v/>
      </c>
      <c r="G107" s="185"/>
      <c r="H107" s="185"/>
      <c r="I107" s="185"/>
      <c r="J107" s="201"/>
      <c r="K107" s="200"/>
      <c r="L107" s="200"/>
      <c r="M107" s="201"/>
      <c r="N107" s="201"/>
      <c r="P107" s="141" t="str">
        <f t="shared" si="11"/>
        <v/>
      </c>
      <c r="Q107" s="141" t="str">
        <f t="shared" si="12"/>
        <v/>
      </c>
      <c r="U107" s="141">
        <v>4252</v>
      </c>
      <c r="V107" s="141" t="s">
        <v>171</v>
      </c>
      <c r="X107" s="141" t="str">
        <f t="shared" si="13"/>
        <v>42</v>
      </c>
      <c r="Y107" s="141" t="str">
        <f t="shared" si="14"/>
        <v>425</v>
      </c>
      <c r="AA107" s="141" t="s">
        <v>1654</v>
      </c>
      <c r="AB107" s="141" t="s">
        <v>1655</v>
      </c>
    </row>
    <row r="108" spans="1:28">
      <c r="A108" s="151"/>
      <c r="B108" s="146" t="str">
        <f t="shared" si="8"/>
        <v/>
      </c>
      <c r="C108" s="151"/>
      <c r="D108" s="146" t="str">
        <f t="shared" si="9"/>
        <v/>
      </c>
      <c r="E108" s="186"/>
      <c r="F108" s="146" t="str">
        <f t="shared" si="10"/>
        <v/>
      </c>
      <c r="G108" s="185"/>
      <c r="H108" s="185"/>
      <c r="I108" s="185"/>
      <c r="J108" s="201"/>
      <c r="K108" s="200"/>
      <c r="L108" s="200"/>
      <c r="M108" s="201"/>
      <c r="N108" s="201"/>
      <c r="P108" s="141" t="str">
        <f t="shared" si="11"/>
        <v/>
      </c>
      <c r="Q108" s="141" t="str">
        <f t="shared" si="12"/>
        <v/>
      </c>
      <c r="U108" s="141">
        <v>4262</v>
      </c>
      <c r="V108" s="141" t="s">
        <v>115</v>
      </c>
      <c r="X108" s="141" t="str">
        <f t="shared" si="13"/>
        <v>42</v>
      </c>
      <c r="Y108" s="141" t="str">
        <f t="shared" si="14"/>
        <v>426</v>
      </c>
      <c r="AA108" s="141" t="s">
        <v>1656</v>
      </c>
      <c r="AB108" s="141" t="s">
        <v>1657</v>
      </c>
    </row>
    <row r="109" spans="1:28">
      <c r="A109" s="151"/>
      <c r="B109" s="146" t="str">
        <f t="shared" si="8"/>
        <v/>
      </c>
      <c r="C109" s="151"/>
      <c r="D109" s="146" t="str">
        <f t="shared" si="9"/>
        <v/>
      </c>
      <c r="E109" s="186"/>
      <c r="F109" s="146" t="str">
        <f t="shared" si="10"/>
        <v/>
      </c>
      <c r="G109" s="185"/>
      <c r="H109" s="185"/>
      <c r="I109" s="185"/>
      <c r="J109" s="201"/>
      <c r="K109" s="200"/>
      <c r="L109" s="200"/>
      <c r="M109" s="201"/>
      <c r="N109" s="201"/>
      <c r="P109" s="141" t="str">
        <f t="shared" si="11"/>
        <v/>
      </c>
      <c r="Q109" s="141" t="str">
        <f t="shared" si="12"/>
        <v/>
      </c>
      <c r="U109" s="141">
        <v>4263</v>
      </c>
      <c r="V109" s="141" t="s">
        <v>172</v>
      </c>
      <c r="X109" s="141" t="str">
        <f t="shared" si="13"/>
        <v>42</v>
      </c>
      <c r="Y109" s="141" t="str">
        <f t="shared" si="14"/>
        <v>426</v>
      </c>
      <c r="AA109" s="141" t="s">
        <v>1658</v>
      </c>
      <c r="AB109" s="141" t="s">
        <v>1659</v>
      </c>
    </row>
    <row r="110" spans="1:28">
      <c r="A110" s="151"/>
      <c r="B110" s="146" t="str">
        <f t="shared" si="8"/>
        <v/>
      </c>
      <c r="C110" s="151"/>
      <c r="D110" s="146" t="str">
        <f t="shared" si="9"/>
        <v/>
      </c>
      <c r="E110" s="186"/>
      <c r="F110" s="146" t="str">
        <f t="shared" si="10"/>
        <v/>
      </c>
      <c r="G110" s="185"/>
      <c r="H110" s="185"/>
      <c r="I110" s="185"/>
      <c r="J110" s="201"/>
      <c r="K110" s="200"/>
      <c r="L110" s="200"/>
      <c r="M110" s="201"/>
      <c r="N110" s="201"/>
      <c r="P110" s="141" t="str">
        <f t="shared" si="11"/>
        <v/>
      </c>
      <c r="Q110" s="141" t="str">
        <f t="shared" si="12"/>
        <v/>
      </c>
      <c r="U110" s="141">
        <v>4264</v>
      </c>
      <c r="V110" s="141" t="s">
        <v>127</v>
      </c>
      <c r="X110" s="141" t="str">
        <f t="shared" si="13"/>
        <v>42</v>
      </c>
      <c r="Y110" s="141" t="str">
        <f t="shared" si="14"/>
        <v>426</v>
      </c>
      <c r="AA110" s="141" t="s">
        <v>1660</v>
      </c>
      <c r="AB110" s="141" t="s">
        <v>1661</v>
      </c>
    </row>
    <row r="111" spans="1:28">
      <c r="A111" s="151"/>
      <c r="B111" s="146" t="str">
        <f t="shared" si="8"/>
        <v/>
      </c>
      <c r="C111" s="151"/>
      <c r="D111" s="146" t="str">
        <f t="shared" si="9"/>
        <v/>
      </c>
      <c r="E111" s="186"/>
      <c r="F111" s="146" t="str">
        <f t="shared" si="10"/>
        <v/>
      </c>
      <c r="G111" s="185"/>
      <c r="H111" s="185"/>
      <c r="I111" s="185"/>
      <c r="J111" s="201"/>
      <c r="K111" s="200"/>
      <c r="L111" s="200"/>
      <c r="M111" s="201"/>
      <c r="N111" s="201"/>
      <c r="P111" s="141" t="str">
        <f t="shared" si="11"/>
        <v/>
      </c>
      <c r="Q111" s="141" t="str">
        <f t="shared" si="12"/>
        <v/>
      </c>
      <c r="U111" s="141">
        <v>4312</v>
      </c>
      <c r="V111" s="141" t="s">
        <v>129</v>
      </c>
      <c r="X111" s="141" t="str">
        <f t="shared" si="13"/>
        <v>43</v>
      </c>
      <c r="Y111" s="141" t="str">
        <f t="shared" si="14"/>
        <v>431</v>
      </c>
      <c r="AA111" s="141" t="s">
        <v>1662</v>
      </c>
      <c r="AB111" s="141" t="s">
        <v>1663</v>
      </c>
    </row>
    <row r="112" spans="1:28">
      <c r="A112" s="151"/>
      <c r="B112" s="146" t="str">
        <f t="shared" si="8"/>
        <v/>
      </c>
      <c r="C112" s="151"/>
      <c r="D112" s="146" t="str">
        <f t="shared" si="9"/>
        <v/>
      </c>
      <c r="E112" s="186"/>
      <c r="F112" s="146" t="str">
        <f t="shared" si="10"/>
        <v/>
      </c>
      <c r="G112" s="185"/>
      <c r="H112" s="185"/>
      <c r="I112" s="185"/>
      <c r="J112" s="201"/>
      <c r="K112" s="200"/>
      <c r="L112" s="200"/>
      <c r="M112" s="201"/>
      <c r="N112" s="201"/>
      <c r="P112" s="141" t="str">
        <f t="shared" si="11"/>
        <v/>
      </c>
      <c r="Q112" s="141" t="str">
        <f t="shared" si="12"/>
        <v/>
      </c>
      <c r="U112" s="141">
        <v>4411</v>
      </c>
      <c r="V112" s="141" t="s">
        <v>173</v>
      </c>
      <c r="X112" s="141" t="str">
        <f t="shared" si="13"/>
        <v>44</v>
      </c>
      <c r="Y112" s="141" t="str">
        <f t="shared" si="14"/>
        <v>441</v>
      </c>
      <c r="AA112" s="141" t="s">
        <v>1664</v>
      </c>
      <c r="AB112" s="141" t="s">
        <v>1665</v>
      </c>
    </row>
    <row r="113" spans="1:28">
      <c r="A113" s="151"/>
      <c r="B113" s="146" t="str">
        <f t="shared" si="8"/>
        <v/>
      </c>
      <c r="C113" s="151"/>
      <c r="D113" s="146" t="str">
        <f t="shared" si="9"/>
        <v/>
      </c>
      <c r="E113" s="186"/>
      <c r="F113" s="146" t="str">
        <f t="shared" si="10"/>
        <v/>
      </c>
      <c r="G113" s="185"/>
      <c r="H113" s="185"/>
      <c r="I113" s="185"/>
      <c r="J113" s="201"/>
      <c r="K113" s="200"/>
      <c r="L113" s="200"/>
      <c r="M113" s="201"/>
      <c r="N113" s="201"/>
      <c r="P113" s="141" t="str">
        <f t="shared" si="11"/>
        <v/>
      </c>
      <c r="Q113" s="141" t="str">
        <f t="shared" si="12"/>
        <v/>
      </c>
      <c r="U113" s="141">
        <v>4511</v>
      </c>
      <c r="V113" s="141" t="s">
        <v>128</v>
      </c>
      <c r="X113" s="141" t="str">
        <f t="shared" si="13"/>
        <v>45</v>
      </c>
      <c r="Y113" s="141" t="str">
        <f t="shared" si="14"/>
        <v>451</v>
      </c>
      <c r="AA113" s="141" t="s">
        <v>1666</v>
      </c>
      <c r="AB113" s="141" t="s">
        <v>1667</v>
      </c>
    </row>
    <row r="114" spans="1:28">
      <c r="A114" s="151"/>
      <c r="B114" s="146" t="str">
        <f t="shared" si="8"/>
        <v/>
      </c>
      <c r="C114" s="151"/>
      <c r="D114" s="146" t="str">
        <f t="shared" si="9"/>
        <v/>
      </c>
      <c r="E114" s="186"/>
      <c r="F114" s="146" t="str">
        <f t="shared" si="10"/>
        <v/>
      </c>
      <c r="G114" s="185"/>
      <c r="H114" s="185"/>
      <c r="I114" s="185"/>
      <c r="J114" s="201"/>
      <c r="K114" s="200"/>
      <c r="L114" s="200"/>
      <c r="M114" s="201"/>
      <c r="N114" s="201"/>
      <c r="P114" s="141" t="str">
        <f t="shared" si="11"/>
        <v/>
      </c>
      <c r="Q114" s="141" t="str">
        <f t="shared" si="12"/>
        <v/>
      </c>
      <c r="U114" s="141">
        <v>4521</v>
      </c>
      <c r="V114" s="141" t="s">
        <v>147</v>
      </c>
      <c r="X114" s="141" t="str">
        <f t="shared" si="13"/>
        <v>45</v>
      </c>
      <c r="Y114" s="141" t="str">
        <f t="shared" si="14"/>
        <v>452</v>
      </c>
      <c r="AA114" s="141" t="s">
        <v>1668</v>
      </c>
      <c r="AB114" s="141" t="s">
        <v>1669</v>
      </c>
    </row>
    <row r="115" spans="1:28">
      <c r="A115" s="151"/>
      <c r="B115" s="146" t="str">
        <f t="shared" si="8"/>
        <v/>
      </c>
      <c r="C115" s="151"/>
      <c r="D115" s="146" t="str">
        <f t="shared" si="9"/>
        <v/>
      </c>
      <c r="E115" s="186"/>
      <c r="F115" s="146" t="str">
        <f t="shared" si="10"/>
        <v/>
      </c>
      <c r="G115" s="185"/>
      <c r="H115" s="185"/>
      <c r="I115" s="185"/>
      <c r="J115" s="201"/>
      <c r="K115" s="200"/>
      <c r="L115" s="200"/>
      <c r="M115" s="201"/>
      <c r="N115" s="201"/>
      <c r="P115" s="141" t="str">
        <f t="shared" si="11"/>
        <v/>
      </c>
      <c r="Q115" s="141" t="str">
        <f t="shared" si="12"/>
        <v/>
      </c>
      <c r="U115" s="141">
        <v>4531</v>
      </c>
      <c r="V115" s="141" t="s">
        <v>190</v>
      </c>
      <c r="X115" s="141" t="str">
        <f t="shared" si="13"/>
        <v>45</v>
      </c>
      <c r="Y115" s="141" t="str">
        <f t="shared" si="14"/>
        <v>453</v>
      </c>
      <c r="AA115" s="141" t="s">
        <v>1670</v>
      </c>
      <c r="AB115" s="141" t="s">
        <v>1671</v>
      </c>
    </row>
    <row r="116" spans="1:28">
      <c r="A116" s="151"/>
      <c r="B116" s="146" t="str">
        <f t="shared" si="8"/>
        <v/>
      </c>
      <c r="C116" s="151"/>
      <c r="D116" s="146" t="str">
        <f t="shared" si="9"/>
        <v/>
      </c>
      <c r="E116" s="186"/>
      <c r="F116" s="146" t="str">
        <f t="shared" si="10"/>
        <v/>
      </c>
      <c r="G116" s="185"/>
      <c r="H116" s="185"/>
      <c r="I116" s="185"/>
      <c r="J116" s="201"/>
      <c r="K116" s="200"/>
      <c r="L116" s="200"/>
      <c r="M116" s="201"/>
      <c r="N116" s="201"/>
      <c r="P116" s="141" t="str">
        <f t="shared" si="11"/>
        <v/>
      </c>
      <c r="Q116" s="141" t="str">
        <f t="shared" si="12"/>
        <v/>
      </c>
      <c r="U116" s="141">
        <v>4541</v>
      </c>
      <c r="V116" s="141" t="s">
        <v>142</v>
      </c>
      <c r="X116" s="141" t="str">
        <f t="shared" si="13"/>
        <v>45</v>
      </c>
      <c r="Y116" s="141" t="str">
        <f t="shared" si="14"/>
        <v>454</v>
      </c>
      <c r="AA116" s="141" t="s">
        <v>1672</v>
      </c>
      <c r="AB116" s="141" t="s">
        <v>1673</v>
      </c>
    </row>
    <row r="117" spans="1:28">
      <c r="A117" s="151"/>
      <c r="B117" s="146" t="str">
        <f t="shared" si="8"/>
        <v/>
      </c>
      <c r="C117" s="151"/>
      <c r="D117" s="146" t="str">
        <f t="shared" si="9"/>
        <v/>
      </c>
      <c r="E117" s="186"/>
      <c r="F117" s="146" t="str">
        <f t="shared" si="10"/>
        <v/>
      </c>
      <c r="G117" s="185"/>
      <c r="H117" s="185"/>
      <c r="I117" s="185"/>
      <c r="J117" s="201"/>
      <c r="K117" s="200"/>
      <c r="L117" s="200"/>
      <c r="M117" s="201"/>
      <c r="N117" s="201"/>
      <c r="P117" s="141" t="str">
        <f t="shared" si="11"/>
        <v/>
      </c>
      <c r="Q117" s="141" t="str">
        <f t="shared" si="12"/>
        <v/>
      </c>
      <c r="U117" s="141">
        <v>5121</v>
      </c>
      <c r="V117" s="141" t="s">
        <v>198</v>
      </c>
      <c r="X117" s="141" t="str">
        <f t="shared" si="13"/>
        <v>51</v>
      </c>
      <c r="Y117" s="141" t="str">
        <f t="shared" si="14"/>
        <v>512</v>
      </c>
      <c r="AA117" s="141" t="s">
        <v>1674</v>
      </c>
      <c r="AB117" s="141" t="s">
        <v>1675</v>
      </c>
    </row>
    <row r="118" spans="1:28">
      <c r="A118" s="151"/>
      <c r="B118" s="146" t="str">
        <f t="shared" si="8"/>
        <v/>
      </c>
      <c r="C118" s="151"/>
      <c r="D118" s="146" t="str">
        <f t="shared" si="9"/>
        <v/>
      </c>
      <c r="E118" s="186"/>
      <c r="F118" s="146" t="str">
        <f t="shared" si="10"/>
        <v/>
      </c>
      <c r="G118" s="185"/>
      <c r="H118" s="185"/>
      <c r="I118" s="185"/>
      <c r="J118" s="201"/>
      <c r="K118" s="200"/>
      <c r="L118" s="200"/>
      <c r="M118" s="201"/>
      <c r="N118" s="201"/>
      <c r="P118" s="141" t="str">
        <f t="shared" si="11"/>
        <v/>
      </c>
      <c r="Q118" s="141" t="str">
        <f t="shared" si="12"/>
        <v/>
      </c>
      <c r="U118" s="141">
        <v>5443</v>
      </c>
      <c r="V118" s="141" t="s">
        <v>174</v>
      </c>
      <c r="X118" s="141" t="str">
        <f t="shared" si="13"/>
        <v>54</v>
      </c>
      <c r="Y118" s="141" t="str">
        <f t="shared" si="14"/>
        <v>544</v>
      </c>
      <c r="AA118" s="141" t="s">
        <v>1676</v>
      </c>
      <c r="AB118" s="141" t="s">
        <v>1677</v>
      </c>
    </row>
    <row r="119" spans="1:28">
      <c r="A119" s="151"/>
      <c r="B119" s="146" t="str">
        <f t="shared" si="8"/>
        <v/>
      </c>
      <c r="C119" s="151"/>
      <c r="D119" s="146" t="str">
        <f t="shared" si="9"/>
        <v/>
      </c>
      <c r="E119" s="186"/>
      <c r="F119" s="146" t="str">
        <f t="shared" si="10"/>
        <v/>
      </c>
      <c r="G119" s="185"/>
      <c r="H119" s="185"/>
      <c r="I119" s="185"/>
      <c r="J119" s="201"/>
      <c r="K119" s="200"/>
      <c r="L119" s="200"/>
      <c r="M119" s="201"/>
      <c r="N119" s="201"/>
      <c r="P119" s="141" t="str">
        <f t="shared" si="11"/>
        <v/>
      </c>
      <c r="Q119" s="141" t="str">
        <f t="shared" si="12"/>
        <v/>
      </c>
      <c r="U119" s="141">
        <v>5121</v>
      </c>
      <c r="V119" s="141" t="s">
        <v>766</v>
      </c>
      <c r="X119" s="141" t="str">
        <f t="shared" si="13"/>
        <v>51</v>
      </c>
      <c r="Y119" s="141" t="str">
        <f t="shared" si="14"/>
        <v>512</v>
      </c>
      <c r="AA119" s="141" t="s">
        <v>1678</v>
      </c>
      <c r="AB119" s="141" t="s">
        <v>1679</v>
      </c>
    </row>
    <row r="120" spans="1:28">
      <c r="A120" s="151"/>
      <c r="B120" s="146" t="str">
        <f t="shared" si="8"/>
        <v/>
      </c>
      <c r="C120" s="151"/>
      <c r="D120" s="146" t="str">
        <f t="shared" si="9"/>
        <v/>
      </c>
      <c r="E120" s="186"/>
      <c r="F120" s="146" t="str">
        <f t="shared" si="10"/>
        <v/>
      </c>
      <c r="G120" s="185"/>
      <c r="H120" s="185"/>
      <c r="I120" s="185"/>
      <c r="J120" s="201"/>
      <c r="K120" s="200"/>
      <c r="L120" s="200"/>
      <c r="M120" s="201"/>
      <c r="N120" s="201"/>
      <c r="P120" s="141" t="str">
        <f t="shared" si="11"/>
        <v/>
      </c>
      <c r="Q120" s="141" t="str">
        <f t="shared" si="12"/>
        <v/>
      </c>
      <c r="U120" s="141">
        <v>5122</v>
      </c>
      <c r="V120" s="141" t="s">
        <v>767</v>
      </c>
      <c r="X120" s="141" t="str">
        <f t="shared" si="13"/>
        <v>51</v>
      </c>
      <c r="Y120" s="141" t="str">
        <f t="shared" si="14"/>
        <v>512</v>
      </c>
      <c r="AA120" s="141" t="s">
        <v>1680</v>
      </c>
      <c r="AB120" s="141" t="s">
        <v>1681</v>
      </c>
    </row>
    <row r="121" spans="1:28">
      <c r="A121" s="151"/>
      <c r="B121" s="146" t="str">
        <f t="shared" si="8"/>
        <v/>
      </c>
      <c r="C121" s="151"/>
      <c r="D121" s="146" t="str">
        <f t="shared" si="9"/>
        <v/>
      </c>
      <c r="E121" s="186"/>
      <c r="F121" s="146" t="str">
        <f t="shared" si="10"/>
        <v/>
      </c>
      <c r="G121" s="185"/>
      <c r="H121" s="185"/>
      <c r="I121" s="185"/>
      <c r="J121" s="201"/>
      <c r="K121" s="200"/>
      <c r="L121" s="200"/>
      <c r="M121" s="201"/>
      <c r="N121" s="201"/>
      <c r="P121" s="141" t="str">
        <f t="shared" si="11"/>
        <v/>
      </c>
      <c r="Q121" s="141" t="str">
        <f t="shared" si="12"/>
        <v/>
      </c>
      <c r="U121" s="141">
        <v>5141</v>
      </c>
      <c r="V121" s="141" t="s">
        <v>768</v>
      </c>
      <c r="X121" s="141" t="str">
        <f t="shared" si="13"/>
        <v>51</v>
      </c>
      <c r="Y121" s="141" t="str">
        <f t="shared" si="14"/>
        <v>514</v>
      </c>
      <c r="AA121" s="141" t="s">
        <v>1682</v>
      </c>
      <c r="AB121" s="141" t="s">
        <v>1683</v>
      </c>
    </row>
    <row r="122" spans="1:28">
      <c r="A122" s="151"/>
      <c r="B122" s="146" t="str">
        <f t="shared" si="8"/>
        <v/>
      </c>
      <c r="C122" s="151"/>
      <c r="D122" s="146" t="str">
        <f t="shared" si="9"/>
        <v/>
      </c>
      <c r="E122" s="186"/>
      <c r="F122" s="146" t="str">
        <f t="shared" si="10"/>
        <v/>
      </c>
      <c r="G122" s="185"/>
      <c r="H122" s="185"/>
      <c r="I122" s="185"/>
      <c r="J122" s="201"/>
      <c r="K122" s="200"/>
      <c r="L122" s="200"/>
      <c r="M122" s="201"/>
      <c r="N122" s="201"/>
      <c r="P122" s="141" t="str">
        <f t="shared" si="11"/>
        <v/>
      </c>
      <c r="Q122" s="141" t="str">
        <f t="shared" si="12"/>
        <v/>
      </c>
      <c r="U122" s="141">
        <v>5181</v>
      </c>
      <c r="V122" s="141" t="s">
        <v>769</v>
      </c>
      <c r="X122" s="141" t="str">
        <f t="shared" si="13"/>
        <v>51</v>
      </c>
      <c r="Y122" s="141" t="str">
        <f t="shared" si="14"/>
        <v>518</v>
      </c>
      <c r="AA122" s="141" t="s">
        <v>1684</v>
      </c>
      <c r="AB122" s="141" t="s">
        <v>1685</v>
      </c>
    </row>
    <row r="123" spans="1:28">
      <c r="A123" s="151"/>
      <c r="B123" s="146" t="str">
        <f t="shared" si="8"/>
        <v/>
      </c>
      <c r="C123" s="151"/>
      <c r="D123" s="146" t="str">
        <f t="shared" si="9"/>
        <v/>
      </c>
      <c r="E123" s="186"/>
      <c r="F123" s="146" t="str">
        <f t="shared" si="10"/>
        <v/>
      </c>
      <c r="G123" s="185"/>
      <c r="H123" s="185"/>
      <c r="I123" s="185"/>
      <c r="J123" s="201"/>
      <c r="K123" s="200"/>
      <c r="L123" s="200"/>
      <c r="M123" s="201"/>
      <c r="N123" s="201"/>
      <c r="P123" s="141" t="str">
        <f t="shared" si="11"/>
        <v/>
      </c>
      <c r="Q123" s="141" t="str">
        <f t="shared" si="12"/>
        <v/>
      </c>
      <c r="U123" s="141">
        <v>5183</v>
      </c>
      <c r="V123" s="141" t="s">
        <v>770</v>
      </c>
      <c r="X123" s="141" t="str">
        <f t="shared" si="13"/>
        <v>51</v>
      </c>
      <c r="Y123" s="141" t="str">
        <f t="shared" si="14"/>
        <v>518</v>
      </c>
      <c r="AA123" s="141" t="s">
        <v>1686</v>
      </c>
      <c r="AB123" s="141" t="s">
        <v>1687</v>
      </c>
    </row>
    <row r="124" spans="1:28">
      <c r="A124" s="151"/>
      <c r="B124" s="146" t="str">
        <f t="shared" si="8"/>
        <v/>
      </c>
      <c r="C124" s="151"/>
      <c r="D124" s="146" t="str">
        <f t="shared" si="9"/>
        <v/>
      </c>
      <c r="E124" s="186"/>
      <c r="F124" s="146" t="str">
        <f t="shared" si="10"/>
        <v/>
      </c>
      <c r="G124" s="185"/>
      <c r="H124" s="185"/>
      <c r="I124" s="185"/>
      <c r="J124" s="201"/>
      <c r="K124" s="200"/>
      <c r="L124" s="200"/>
      <c r="M124" s="201"/>
      <c r="N124" s="201"/>
      <c r="P124" s="141" t="str">
        <f t="shared" si="11"/>
        <v/>
      </c>
      <c r="Q124" s="141" t="str">
        <f t="shared" si="12"/>
        <v/>
      </c>
      <c r="U124" s="141">
        <v>5422</v>
      </c>
      <c r="V124" s="141" t="s">
        <v>771</v>
      </c>
      <c r="X124" s="141" t="str">
        <f t="shared" si="13"/>
        <v>54</v>
      </c>
      <c r="Y124" s="141" t="str">
        <f t="shared" si="14"/>
        <v>542</v>
      </c>
      <c r="AA124" s="141" t="s">
        <v>1688</v>
      </c>
      <c r="AB124" s="141" t="s">
        <v>1689</v>
      </c>
    </row>
    <row r="125" spans="1:28">
      <c r="A125" s="151"/>
      <c r="B125" s="146" t="str">
        <f t="shared" si="8"/>
        <v/>
      </c>
      <c r="C125" s="151"/>
      <c r="D125" s="146" t="str">
        <f t="shared" si="9"/>
        <v/>
      </c>
      <c r="E125" s="186"/>
      <c r="F125" s="146" t="str">
        <f t="shared" si="10"/>
        <v/>
      </c>
      <c r="G125" s="185"/>
      <c r="H125" s="185"/>
      <c r="I125" s="185"/>
      <c r="J125" s="201"/>
      <c r="K125" s="200"/>
      <c r="L125" s="200"/>
      <c r="M125" s="201"/>
      <c r="N125" s="201"/>
      <c r="P125" s="141" t="str">
        <f t="shared" si="11"/>
        <v/>
      </c>
      <c r="Q125" s="141" t="str">
        <f t="shared" si="12"/>
        <v/>
      </c>
      <c r="U125" s="141">
        <v>5431</v>
      </c>
      <c r="V125" s="141" t="s">
        <v>366</v>
      </c>
      <c r="X125" s="141" t="str">
        <f t="shared" si="13"/>
        <v>54</v>
      </c>
      <c r="Y125" s="141" t="str">
        <f t="shared" si="14"/>
        <v>543</v>
      </c>
      <c r="AA125" s="141" t="s">
        <v>1690</v>
      </c>
      <c r="AB125" s="141" t="s">
        <v>1691</v>
      </c>
    </row>
    <row r="126" spans="1:28">
      <c r="A126" s="151"/>
      <c r="B126" s="146" t="str">
        <f t="shared" si="8"/>
        <v/>
      </c>
      <c r="C126" s="151"/>
      <c r="D126" s="146" t="str">
        <f t="shared" si="9"/>
        <v/>
      </c>
      <c r="E126" s="186"/>
      <c r="F126" s="146" t="str">
        <f t="shared" si="10"/>
        <v/>
      </c>
      <c r="G126" s="185"/>
      <c r="H126" s="185"/>
      <c r="I126" s="185"/>
      <c r="J126" s="201"/>
      <c r="K126" s="200"/>
      <c r="L126" s="200"/>
      <c r="M126" s="201"/>
      <c r="N126" s="201"/>
      <c r="P126" s="141" t="str">
        <f t="shared" si="11"/>
        <v/>
      </c>
      <c r="Q126" s="141" t="str">
        <f t="shared" si="12"/>
        <v/>
      </c>
      <c r="U126" s="141">
        <v>5443</v>
      </c>
      <c r="V126" s="141" t="s">
        <v>772</v>
      </c>
      <c r="X126" s="141" t="str">
        <f t="shared" si="13"/>
        <v>54</v>
      </c>
      <c r="Y126" s="141" t="str">
        <f t="shared" si="14"/>
        <v>544</v>
      </c>
      <c r="AA126" s="141" t="s">
        <v>1692</v>
      </c>
      <c r="AB126" s="141" t="s">
        <v>1693</v>
      </c>
    </row>
    <row r="127" spans="1:28">
      <c r="A127" s="151"/>
      <c r="B127" s="146" t="str">
        <f t="shared" si="8"/>
        <v/>
      </c>
      <c r="C127" s="151"/>
      <c r="D127" s="146" t="str">
        <f t="shared" si="9"/>
        <v/>
      </c>
      <c r="E127" s="186"/>
      <c r="F127" s="146" t="str">
        <f t="shared" si="10"/>
        <v/>
      </c>
      <c r="G127" s="185"/>
      <c r="H127" s="185"/>
      <c r="I127" s="185"/>
      <c r="J127" s="201"/>
      <c r="K127" s="200"/>
      <c r="L127" s="200"/>
      <c r="M127" s="201"/>
      <c r="N127" s="201"/>
      <c r="P127" s="141" t="str">
        <f t="shared" si="11"/>
        <v/>
      </c>
      <c r="Q127" s="141" t="str">
        <f t="shared" si="12"/>
        <v/>
      </c>
      <c r="U127" s="141">
        <v>5445</v>
      </c>
      <c r="V127" s="141" t="s">
        <v>773</v>
      </c>
      <c r="X127" s="141" t="str">
        <f t="shared" si="13"/>
        <v>54</v>
      </c>
      <c r="Y127" s="141" t="str">
        <f t="shared" si="14"/>
        <v>544</v>
      </c>
      <c r="AA127" s="141" t="s">
        <v>1694</v>
      </c>
      <c r="AB127" s="141" t="s">
        <v>1695</v>
      </c>
    </row>
    <row r="128" spans="1:28">
      <c r="A128" s="151"/>
      <c r="B128" s="146" t="str">
        <f t="shared" si="8"/>
        <v/>
      </c>
      <c r="C128" s="151"/>
      <c r="D128" s="146" t="str">
        <f t="shared" si="9"/>
        <v/>
      </c>
      <c r="E128" s="186"/>
      <c r="F128" s="146" t="str">
        <f t="shared" si="10"/>
        <v/>
      </c>
      <c r="G128" s="185"/>
      <c r="H128" s="185"/>
      <c r="I128" s="185"/>
      <c r="J128" s="201"/>
      <c r="K128" s="200"/>
      <c r="L128" s="200"/>
      <c r="M128" s="201"/>
      <c r="N128" s="201"/>
      <c r="P128" s="141" t="str">
        <f t="shared" si="11"/>
        <v/>
      </c>
      <c r="Q128" s="141" t="str">
        <f t="shared" si="12"/>
        <v/>
      </c>
      <c r="U128" s="141">
        <v>5453</v>
      </c>
      <c r="V128" s="141" t="s">
        <v>774</v>
      </c>
      <c r="X128" s="141" t="str">
        <f t="shared" si="13"/>
        <v>54</v>
      </c>
      <c r="Y128" s="141" t="str">
        <f t="shared" si="14"/>
        <v>545</v>
      </c>
      <c r="AA128" s="141" t="s">
        <v>1696</v>
      </c>
      <c r="AB128" s="141" t="s">
        <v>1697</v>
      </c>
    </row>
    <row r="129" spans="1:28">
      <c r="A129" s="151"/>
      <c r="B129" s="146" t="str">
        <f t="shared" si="8"/>
        <v/>
      </c>
      <c r="C129" s="151"/>
      <c r="D129" s="146" t="str">
        <f t="shared" si="9"/>
        <v/>
      </c>
      <c r="E129" s="186"/>
      <c r="F129" s="146" t="str">
        <f t="shared" si="10"/>
        <v/>
      </c>
      <c r="G129" s="185"/>
      <c r="H129" s="185"/>
      <c r="I129" s="185"/>
      <c r="J129" s="201"/>
      <c r="K129" s="200"/>
      <c r="L129" s="200"/>
      <c r="M129" s="201"/>
      <c r="N129" s="201"/>
      <c r="P129" s="141" t="str">
        <f t="shared" si="11"/>
        <v/>
      </c>
      <c r="Q129" s="141" t="str">
        <f t="shared" si="12"/>
        <v/>
      </c>
      <c r="U129" s="141">
        <v>5472</v>
      </c>
      <c r="V129" s="141" t="s">
        <v>775</v>
      </c>
      <c r="X129" s="141" t="str">
        <f t="shared" si="13"/>
        <v>54</v>
      </c>
      <c r="Y129" s="141" t="str">
        <f t="shared" si="14"/>
        <v>547</v>
      </c>
      <c r="AA129" s="141" t="s">
        <v>1698</v>
      </c>
      <c r="AB129" s="141" t="s">
        <v>1699</v>
      </c>
    </row>
    <row r="130" spans="1:28">
      <c r="A130" s="151"/>
      <c r="B130" s="146" t="str">
        <f t="shared" si="8"/>
        <v/>
      </c>
      <c r="C130" s="151"/>
      <c r="D130" s="146" t="str">
        <f t="shared" si="9"/>
        <v/>
      </c>
      <c r="E130" s="186"/>
      <c r="F130" s="146" t="str">
        <f t="shared" si="10"/>
        <v/>
      </c>
      <c r="G130" s="185"/>
      <c r="H130" s="185"/>
      <c r="I130" s="185"/>
      <c r="J130" s="201"/>
      <c r="K130" s="200"/>
      <c r="L130" s="200"/>
      <c r="M130" s="201"/>
      <c r="N130" s="201"/>
      <c r="P130" s="141" t="str">
        <f t="shared" si="11"/>
        <v/>
      </c>
      <c r="Q130" s="141" t="str">
        <f t="shared" si="12"/>
        <v/>
      </c>
      <c r="AA130" s="141" t="s">
        <v>1700</v>
      </c>
      <c r="AB130" s="141" t="s">
        <v>1701</v>
      </c>
    </row>
    <row r="131" spans="1:28">
      <c r="A131" s="151"/>
      <c r="B131" s="146" t="str">
        <f t="shared" si="8"/>
        <v/>
      </c>
      <c r="C131" s="151"/>
      <c r="D131" s="146" t="str">
        <f t="shared" si="9"/>
        <v/>
      </c>
      <c r="E131" s="186"/>
      <c r="F131" s="146" t="str">
        <f t="shared" si="10"/>
        <v/>
      </c>
      <c r="G131" s="185"/>
      <c r="H131" s="185"/>
      <c r="I131" s="185"/>
      <c r="J131" s="201"/>
      <c r="K131" s="200"/>
      <c r="L131" s="200"/>
      <c r="M131" s="201"/>
      <c r="N131" s="201"/>
      <c r="P131" s="141" t="str">
        <f t="shared" si="11"/>
        <v/>
      </c>
      <c r="Q131" s="141" t="str">
        <f t="shared" si="12"/>
        <v/>
      </c>
      <c r="AA131" s="141" t="s">
        <v>892</v>
      </c>
      <c r="AB131" s="141" t="s">
        <v>893</v>
      </c>
    </row>
    <row r="132" spans="1:28">
      <c r="A132" s="151"/>
      <c r="B132" s="146" t="str">
        <f t="shared" ref="B132:B195" si="15">IFERROR(VLOOKUP(A132,$R$6:$S$23,2,FALSE),"")</f>
        <v/>
      </c>
      <c r="C132" s="151"/>
      <c r="D132" s="146" t="str">
        <f t="shared" ref="D132:D195" si="16">IFERROR(VLOOKUP(C132,$U$5:$W$129,2,FALSE),"")</f>
        <v/>
      </c>
      <c r="E132" s="186"/>
      <c r="F132" s="146" t="str">
        <f t="shared" ref="F132:F195" si="17">IFERROR(VLOOKUP(E132,$AA$5:$AB$500,2,FALSE),"")</f>
        <v/>
      </c>
      <c r="G132" s="185"/>
      <c r="H132" s="185"/>
      <c r="I132" s="185"/>
      <c r="J132" s="201"/>
      <c r="K132" s="200"/>
      <c r="L132" s="200"/>
      <c r="M132" s="201"/>
      <c r="N132" s="201"/>
      <c r="P132" s="141" t="str">
        <f t="shared" ref="P132:P195" si="18">LEFT(C132,3)</f>
        <v/>
      </c>
      <c r="Q132" s="141" t="str">
        <f t="shared" ref="Q132:Q195" si="19">LEFT(C132,2)</f>
        <v/>
      </c>
      <c r="AA132" s="141" t="s">
        <v>894</v>
      </c>
      <c r="AB132" s="141" t="s">
        <v>895</v>
      </c>
    </row>
    <row r="133" spans="1:28">
      <c r="A133" s="151"/>
      <c r="B133" s="146" t="str">
        <f t="shared" si="15"/>
        <v/>
      </c>
      <c r="C133" s="151"/>
      <c r="D133" s="146" t="str">
        <f t="shared" si="16"/>
        <v/>
      </c>
      <c r="E133" s="186"/>
      <c r="F133" s="146" t="str">
        <f t="shared" si="17"/>
        <v/>
      </c>
      <c r="G133" s="185"/>
      <c r="H133" s="185"/>
      <c r="I133" s="185"/>
      <c r="J133" s="201"/>
      <c r="K133" s="200"/>
      <c r="L133" s="200"/>
      <c r="M133" s="201"/>
      <c r="N133" s="201"/>
      <c r="P133" s="141" t="str">
        <f t="shared" si="18"/>
        <v/>
      </c>
      <c r="Q133" s="141" t="str">
        <f t="shared" si="19"/>
        <v/>
      </c>
      <c r="AA133" s="141" t="s">
        <v>896</v>
      </c>
      <c r="AB133" s="141" t="s">
        <v>897</v>
      </c>
    </row>
    <row r="134" spans="1:28">
      <c r="A134" s="151"/>
      <c r="B134" s="146" t="str">
        <f t="shared" si="15"/>
        <v/>
      </c>
      <c r="C134" s="151"/>
      <c r="D134" s="146" t="str">
        <f t="shared" si="16"/>
        <v/>
      </c>
      <c r="E134" s="186"/>
      <c r="F134" s="146" t="str">
        <f t="shared" si="17"/>
        <v/>
      </c>
      <c r="G134" s="185"/>
      <c r="H134" s="185"/>
      <c r="I134" s="185"/>
      <c r="J134" s="201"/>
      <c r="K134" s="200"/>
      <c r="L134" s="200"/>
      <c r="M134" s="201"/>
      <c r="N134" s="201"/>
      <c r="P134" s="141" t="str">
        <f t="shared" si="18"/>
        <v/>
      </c>
      <c r="Q134" s="141" t="str">
        <f t="shared" si="19"/>
        <v/>
      </c>
      <c r="AA134" s="141" t="s">
        <v>898</v>
      </c>
      <c r="AB134" s="141" t="s">
        <v>899</v>
      </c>
    </row>
    <row r="135" spans="1:28">
      <c r="A135" s="151"/>
      <c r="B135" s="146" t="str">
        <f t="shared" si="15"/>
        <v/>
      </c>
      <c r="C135" s="151"/>
      <c r="D135" s="146" t="str">
        <f t="shared" si="16"/>
        <v/>
      </c>
      <c r="E135" s="186"/>
      <c r="F135" s="146" t="str">
        <f t="shared" si="17"/>
        <v/>
      </c>
      <c r="G135" s="185"/>
      <c r="H135" s="185"/>
      <c r="I135" s="185"/>
      <c r="J135" s="201"/>
      <c r="K135" s="200"/>
      <c r="L135" s="200"/>
      <c r="M135" s="201"/>
      <c r="N135" s="201"/>
      <c r="P135" s="141" t="str">
        <f t="shared" si="18"/>
        <v/>
      </c>
      <c r="Q135" s="141" t="str">
        <f t="shared" si="19"/>
        <v/>
      </c>
      <c r="AA135" s="141" t="s">
        <v>900</v>
      </c>
      <c r="AB135" s="141" t="s">
        <v>901</v>
      </c>
    </row>
    <row r="136" spans="1:28">
      <c r="A136" s="151"/>
      <c r="B136" s="146" t="str">
        <f t="shared" si="15"/>
        <v/>
      </c>
      <c r="C136" s="151"/>
      <c r="D136" s="146" t="str">
        <f t="shared" si="16"/>
        <v/>
      </c>
      <c r="E136" s="186"/>
      <c r="F136" s="146" t="str">
        <f t="shared" si="17"/>
        <v/>
      </c>
      <c r="G136" s="185"/>
      <c r="H136" s="185"/>
      <c r="I136" s="185"/>
      <c r="J136" s="201"/>
      <c r="K136" s="200"/>
      <c r="L136" s="200"/>
      <c r="M136" s="201"/>
      <c r="N136" s="201"/>
      <c r="P136" s="141" t="str">
        <f t="shared" si="18"/>
        <v/>
      </c>
      <c r="Q136" s="141" t="str">
        <f t="shared" si="19"/>
        <v/>
      </c>
      <c r="AA136" s="141" t="s">
        <v>902</v>
      </c>
      <c r="AB136" s="141" t="s">
        <v>903</v>
      </c>
    </row>
    <row r="137" spans="1:28">
      <c r="A137" s="151"/>
      <c r="B137" s="146" t="str">
        <f t="shared" si="15"/>
        <v/>
      </c>
      <c r="C137" s="151"/>
      <c r="D137" s="146" t="str">
        <f t="shared" si="16"/>
        <v/>
      </c>
      <c r="E137" s="186"/>
      <c r="F137" s="146" t="str">
        <f t="shared" si="17"/>
        <v/>
      </c>
      <c r="G137" s="185"/>
      <c r="H137" s="185"/>
      <c r="I137" s="185"/>
      <c r="J137" s="201"/>
      <c r="K137" s="200"/>
      <c r="L137" s="200"/>
      <c r="M137" s="201"/>
      <c r="N137" s="201"/>
      <c r="P137" s="141" t="str">
        <f t="shared" si="18"/>
        <v/>
      </c>
      <c r="Q137" s="141" t="str">
        <f t="shared" si="19"/>
        <v/>
      </c>
      <c r="AA137" s="141" t="s">
        <v>904</v>
      </c>
      <c r="AB137" s="141" t="s">
        <v>905</v>
      </c>
    </row>
    <row r="138" spans="1:28">
      <c r="A138" s="151"/>
      <c r="B138" s="146" t="str">
        <f t="shared" si="15"/>
        <v/>
      </c>
      <c r="C138" s="151"/>
      <c r="D138" s="146" t="str">
        <f t="shared" si="16"/>
        <v/>
      </c>
      <c r="E138" s="186"/>
      <c r="F138" s="146" t="str">
        <f t="shared" si="17"/>
        <v/>
      </c>
      <c r="G138" s="185"/>
      <c r="H138" s="185"/>
      <c r="I138" s="185"/>
      <c r="J138" s="201"/>
      <c r="K138" s="200"/>
      <c r="L138" s="200"/>
      <c r="M138" s="201"/>
      <c r="N138" s="201"/>
      <c r="P138" s="141" t="str">
        <f t="shared" si="18"/>
        <v/>
      </c>
      <c r="Q138" s="141" t="str">
        <f t="shared" si="19"/>
        <v/>
      </c>
      <c r="AA138" s="141" t="s">
        <v>906</v>
      </c>
      <c r="AB138" s="141" t="s">
        <v>907</v>
      </c>
    </row>
    <row r="139" spans="1:28">
      <c r="A139" s="151"/>
      <c r="B139" s="146" t="str">
        <f t="shared" si="15"/>
        <v/>
      </c>
      <c r="C139" s="151"/>
      <c r="D139" s="146" t="str">
        <f t="shared" si="16"/>
        <v/>
      </c>
      <c r="E139" s="186"/>
      <c r="F139" s="146" t="str">
        <f t="shared" si="17"/>
        <v/>
      </c>
      <c r="G139" s="185"/>
      <c r="H139" s="185"/>
      <c r="I139" s="185"/>
      <c r="J139" s="201"/>
      <c r="K139" s="200"/>
      <c r="L139" s="200"/>
      <c r="M139" s="201"/>
      <c r="N139" s="201"/>
      <c r="P139" s="141" t="str">
        <f t="shared" si="18"/>
        <v/>
      </c>
      <c r="Q139" s="141" t="str">
        <f t="shared" si="19"/>
        <v/>
      </c>
      <c r="AA139" s="141" t="s">
        <v>1702</v>
      </c>
      <c r="AB139" s="141" t="s">
        <v>1703</v>
      </c>
    </row>
    <row r="140" spans="1:28">
      <c r="A140" s="151"/>
      <c r="B140" s="146" t="str">
        <f t="shared" si="15"/>
        <v/>
      </c>
      <c r="C140" s="151"/>
      <c r="D140" s="146" t="str">
        <f t="shared" si="16"/>
        <v/>
      </c>
      <c r="E140" s="186"/>
      <c r="F140" s="146" t="str">
        <f t="shared" si="17"/>
        <v/>
      </c>
      <c r="G140" s="185"/>
      <c r="H140" s="185"/>
      <c r="I140" s="185"/>
      <c r="J140" s="201"/>
      <c r="K140" s="200"/>
      <c r="L140" s="200"/>
      <c r="M140" s="201"/>
      <c r="N140" s="201"/>
      <c r="P140" s="141" t="str">
        <f t="shared" si="18"/>
        <v/>
      </c>
      <c r="Q140" s="141" t="str">
        <f t="shared" si="19"/>
        <v/>
      </c>
      <c r="AA140" s="141" t="s">
        <v>1704</v>
      </c>
      <c r="AB140" s="141" t="s">
        <v>1705</v>
      </c>
    </row>
    <row r="141" spans="1:28">
      <c r="A141" s="151"/>
      <c r="B141" s="146" t="str">
        <f t="shared" si="15"/>
        <v/>
      </c>
      <c r="C141" s="151"/>
      <c r="D141" s="146" t="str">
        <f t="shared" si="16"/>
        <v/>
      </c>
      <c r="E141" s="186"/>
      <c r="F141" s="146" t="str">
        <f t="shared" si="17"/>
        <v/>
      </c>
      <c r="G141" s="185"/>
      <c r="H141" s="185"/>
      <c r="I141" s="185"/>
      <c r="J141" s="201"/>
      <c r="K141" s="200"/>
      <c r="L141" s="200"/>
      <c r="M141" s="201"/>
      <c r="N141" s="201"/>
      <c r="P141" s="141" t="str">
        <f t="shared" si="18"/>
        <v/>
      </c>
      <c r="Q141" s="141" t="str">
        <f t="shared" si="19"/>
        <v/>
      </c>
      <c r="AA141" s="141" t="s">
        <v>1706</v>
      </c>
      <c r="AB141" s="141" t="s">
        <v>1707</v>
      </c>
    </row>
    <row r="142" spans="1:28">
      <c r="A142" s="151"/>
      <c r="B142" s="146" t="str">
        <f t="shared" si="15"/>
        <v/>
      </c>
      <c r="C142" s="151"/>
      <c r="D142" s="146" t="str">
        <f t="shared" si="16"/>
        <v/>
      </c>
      <c r="E142" s="186"/>
      <c r="F142" s="146" t="str">
        <f t="shared" si="17"/>
        <v/>
      </c>
      <c r="G142" s="185"/>
      <c r="H142" s="185"/>
      <c r="I142" s="185"/>
      <c r="J142" s="201"/>
      <c r="K142" s="200"/>
      <c r="L142" s="200"/>
      <c r="M142" s="201"/>
      <c r="N142" s="201"/>
      <c r="P142" s="141" t="str">
        <f t="shared" si="18"/>
        <v/>
      </c>
      <c r="Q142" s="141" t="str">
        <f t="shared" si="19"/>
        <v/>
      </c>
      <c r="AA142" s="141" t="s">
        <v>1708</v>
      </c>
      <c r="AB142" s="141" t="s">
        <v>1709</v>
      </c>
    </row>
    <row r="143" spans="1:28">
      <c r="A143" s="151"/>
      <c r="B143" s="146" t="str">
        <f t="shared" si="15"/>
        <v/>
      </c>
      <c r="C143" s="151"/>
      <c r="D143" s="146" t="str">
        <f t="shared" si="16"/>
        <v/>
      </c>
      <c r="E143" s="186"/>
      <c r="F143" s="146" t="str">
        <f t="shared" si="17"/>
        <v/>
      </c>
      <c r="G143" s="185"/>
      <c r="H143" s="185"/>
      <c r="I143" s="185"/>
      <c r="J143" s="201"/>
      <c r="K143" s="200"/>
      <c r="L143" s="200"/>
      <c r="M143" s="201"/>
      <c r="N143" s="201"/>
      <c r="P143" s="141" t="str">
        <f t="shared" si="18"/>
        <v/>
      </c>
      <c r="Q143" s="141" t="str">
        <f t="shared" si="19"/>
        <v/>
      </c>
      <c r="AA143" s="141" t="s">
        <v>1710</v>
      </c>
      <c r="AB143" s="141" t="s">
        <v>1711</v>
      </c>
    </row>
    <row r="144" spans="1:28">
      <c r="A144" s="151"/>
      <c r="B144" s="146" t="str">
        <f t="shared" si="15"/>
        <v/>
      </c>
      <c r="C144" s="151"/>
      <c r="D144" s="146" t="str">
        <f t="shared" si="16"/>
        <v/>
      </c>
      <c r="E144" s="186"/>
      <c r="F144" s="146" t="str">
        <f t="shared" si="17"/>
        <v/>
      </c>
      <c r="G144" s="185"/>
      <c r="H144" s="185"/>
      <c r="I144" s="185"/>
      <c r="J144" s="201"/>
      <c r="K144" s="200"/>
      <c r="L144" s="200"/>
      <c r="M144" s="201"/>
      <c r="N144" s="201"/>
      <c r="P144" s="141" t="str">
        <f t="shared" si="18"/>
        <v/>
      </c>
      <c r="Q144" s="141" t="str">
        <f t="shared" si="19"/>
        <v/>
      </c>
      <c r="AA144" s="141" t="s">
        <v>908</v>
      </c>
      <c r="AB144" s="141" t="s">
        <v>909</v>
      </c>
    </row>
    <row r="145" spans="1:28">
      <c r="A145" s="151"/>
      <c r="B145" s="146" t="str">
        <f t="shared" si="15"/>
        <v/>
      </c>
      <c r="C145" s="151"/>
      <c r="D145" s="146" t="str">
        <f t="shared" si="16"/>
        <v/>
      </c>
      <c r="E145" s="186"/>
      <c r="F145" s="146" t="str">
        <f t="shared" si="17"/>
        <v/>
      </c>
      <c r="G145" s="185"/>
      <c r="H145" s="185"/>
      <c r="I145" s="185"/>
      <c r="J145" s="201"/>
      <c r="K145" s="200"/>
      <c r="L145" s="200"/>
      <c r="M145" s="201"/>
      <c r="N145" s="201"/>
      <c r="P145" s="141" t="str">
        <f t="shared" si="18"/>
        <v/>
      </c>
      <c r="Q145" s="141" t="str">
        <f t="shared" si="19"/>
        <v/>
      </c>
      <c r="AA145" s="141" t="s">
        <v>910</v>
      </c>
      <c r="AB145" s="141" t="s">
        <v>911</v>
      </c>
    </row>
    <row r="146" spans="1:28">
      <c r="A146" s="151"/>
      <c r="B146" s="146" t="str">
        <f t="shared" si="15"/>
        <v/>
      </c>
      <c r="C146" s="151"/>
      <c r="D146" s="146" t="str">
        <f t="shared" si="16"/>
        <v/>
      </c>
      <c r="E146" s="186"/>
      <c r="F146" s="146" t="str">
        <f t="shared" si="17"/>
        <v/>
      </c>
      <c r="G146" s="185"/>
      <c r="H146" s="185"/>
      <c r="I146" s="185"/>
      <c r="J146" s="201"/>
      <c r="K146" s="200"/>
      <c r="L146" s="200"/>
      <c r="M146" s="201"/>
      <c r="N146" s="201"/>
      <c r="P146" s="141" t="str">
        <f t="shared" si="18"/>
        <v/>
      </c>
      <c r="Q146" s="141" t="str">
        <f t="shared" si="19"/>
        <v/>
      </c>
      <c r="AA146" s="141" t="s">
        <v>912</v>
      </c>
      <c r="AB146" s="141" t="s">
        <v>913</v>
      </c>
    </row>
    <row r="147" spans="1:28">
      <c r="A147" s="151"/>
      <c r="B147" s="146" t="str">
        <f t="shared" si="15"/>
        <v/>
      </c>
      <c r="C147" s="151"/>
      <c r="D147" s="146" t="str">
        <f t="shared" si="16"/>
        <v/>
      </c>
      <c r="E147" s="186"/>
      <c r="F147" s="146" t="str">
        <f t="shared" si="17"/>
        <v/>
      </c>
      <c r="G147" s="185"/>
      <c r="H147" s="185"/>
      <c r="I147" s="185"/>
      <c r="J147" s="201"/>
      <c r="K147" s="200"/>
      <c r="L147" s="200"/>
      <c r="M147" s="201"/>
      <c r="N147" s="201"/>
      <c r="P147" s="141" t="str">
        <f t="shared" si="18"/>
        <v/>
      </c>
      <c r="Q147" s="141" t="str">
        <f t="shared" si="19"/>
        <v/>
      </c>
      <c r="AA147" s="141" t="s">
        <v>914</v>
      </c>
      <c r="AB147" s="141" t="s">
        <v>915</v>
      </c>
    </row>
    <row r="148" spans="1:28">
      <c r="A148" s="151"/>
      <c r="B148" s="146" t="str">
        <f t="shared" si="15"/>
        <v/>
      </c>
      <c r="C148" s="151"/>
      <c r="D148" s="146" t="str">
        <f t="shared" si="16"/>
        <v/>
      </c>
      <c r="E148" s="186"/>
      <c r="F148" s="146" t="str">
        <f t="shared" si="17"/>
        <v/>
      </c>
      <c r="G148" s="185"/>
      <c r="H148" s="185"/>
      <c r="I148" s="185"/>
      <c r="J148" s="201"/>
      <c r="K148" s="200"/>
      <c r="L148" s="200"/>
      <c r="M148" s="201"/>
      <c r="N148" s="201"/>
      <c r="P148" s="141" t="str">
        <f t="shared" si="18"/>
        <v/>
      </c>
      <c r="Q148" s="141" t="str">
        <f t="shared" si="19"/>
        <v/>
      </c>
      <c r="AA148" s="141" t="s">
        <v>916</v>
      </c>
      <c r="AB148" s="141" t="s">
        <v>917</v>
      </c>
    </row>
    <row r="149" spans="1:28">
      <c r="A149" s="151"/>
      <c r="B149" s="146" t="str">
        <f t="shared" si="15"/>
        <v/>
      </c>
      <c r="C149" s="151"/>
      <c r="D149" s="146" t="str">
        <f t="shared" si="16"/>
        <v/>
      </c>
      <c r="E149" s="186"/>
      <c r="F149" s="146" t="str">
        <f t="shared" si="17"/>
        <v/>
      </c>
      <c r="G149" s="185"/>
      <c r="H149" s="185"/>
      <c r="I149" s="185"/>
      <c r="J149" s="201"/>
      <c r="K149" s="200"/>
      <c r="L149" s="200"/>
      <c r="M149" s="201"/>
      <c r="N149" s="201"/>
      <c r="P149" s="141" t="str">
        <f t="shared" si="18"/>
        <v/>
      </c>
      <c r="Q149" s="141" t="str">
        <f t="shared" si="19"/>
        <v/>
      </c>
      <c r="AA149" s="141" t="s">
        <v>918</v>
      </c>
      <c r="AB149" s="141" t="s">
        <v>919</v>
      </c>
    </row>
    <row r="150" spans="1:28">
      <c r="A150" s="151"/>
      <c r="B150" s="146" t="str">
        <f t="shared" si="15"/>
        <v/>
      </c>
      <c r="C150" s="151"/>
      <c r="D150" s="146" t="str">
        <f t="shared" si="16"/>
        <v/>
      </c>
      <c r="E150" s="186"/>
      <c r="F150" s="146" t="str">
        <f t="shared" si="17"/>
        <v/>
      </c>
      <c r="G150" s="185"/>
      <c r="H150" s="185"/>
      <c r="I150" s="185"/>
      <c r="J150" s="201"/>
      <c r="K150" s="200"/>
      <c r="L150" s="200"/>
      <c r="M150" s="201"/>
      <c r="N150" s="201"/>
      <c r="P150" s="141" t="str">
        <f t="shared" si="18"/>
        <v/>
      </c>
      <c r="Q150" s="141" t="str">
        <f t="shared" si="19"/>
        <v/>
      </c>
      <c r="AA150" s="141" t="s">
        <v>920</v>
      </c>
      <c r="AB150" s="141" t="s">
        <v>921</v>
      </c>
    </row>
    <row r="151" spans="1:28">
      <c r="A151" s="151"/>
      <c r="B151" s="146" t="str">
        <f t="shared" si="15"/>
        <v/>
      </c>
      <c r="C151" s="151"/>
      <c r="D151" s="146" t="str">
        <f t="shared" si="16"/>
        <v/>
      </c>
      <c r="E151" s="186"/>
      <c r="F151" s="146" t="str">
        <f t="shared" si="17"/>
        <v/>
      </c>
      <c r="G151" s="185"/>
      <c r="H151" s="185"/>
      <c r="I151" s="185"/>
      <c r="J151" s="201"/>
      <c r="K151" s="200"/>
      <c r="L151" s="200"/>
      <c r="M151" s="201"/>
      <c r="N151" s="201"/>
      <c r="P151" s="141" t="str">
        <f t="shared" si="18"/>
        <v/>
      </c>
      <c r="Q151" s="141" t="str">
        <f t="shared" si="19"/>
        <v/>
      </c>
      <c r="AA151" s="141" t="s">
        <v>922</v>
      </c>
      <c r="AB151" s="141" t="s">
        <v>923</v>
      </c>
    </row>
    <row r="152" spans="1:28">
      <c r="A152" s="151"/>
      <c r="B152" s="146" t="str">
        <f t="shared" si="15"/>
        <v/>
      </c>
      <c r="C152" s="151"/>
      <c r="D152" s="146" t="str">
        <f t="shared" si="16"/>
        <v/>
      </c>
      <c r="E152" s="186"/>
      <c r="F152" s="146" t="str">
        <f t="shared" si="17"/>
        <v/>
      </c>
      <c r="G152" s="185"/>
      <c r="H152" s="185"/>
      <c r="I152" s="185"/>
      <c r="J152" s="201"/>
      <c r="K152" s="200"/>
      <c r="L152" s="200"/>
      <c r="M152" s="201"/>
      <c r="N152" s="201"/>
      <c r="P152" s="141" t="str">
        <f t="shared" si="18"/>
        <v/>
      </c>
      <c r="Q152" s="141" t="str">
        <f t="shared" si="19"/>
        <v/>
      </c>
      <c r="AA152" s="141" t="s">
        <v>1712</v>
      </c>
      <c r="AB152" s="141" t="s">
        <v>1713</v>
      </c>
    </row>
    <row r="153" spans="1:28">
      <c r="A153" s="151"/>
      <c r="B153" s="146" t="str">
        <f t="shared" si="15"/>
        <v/>
      </c>
      <c r="C153" s="151"/>
      <c r="D153" s="146" t="str">
        <f t="shared" si="16"/>
        <v/>
      </c>
      <c r="E153" s="186"/>
      <c r="F153" s="146" t="str">
        <f t="shared" si="17"/>
        <v/>
      </c>
      <c r="G153" s="185"/>
      <c r="H153" s="185"/>
      <c r="I153" s="185"/>
      <c r="J153" s="201"/>
      <c r="K153" s="200"/>
      <c r="L153" s="200"/>
      <c r="M153" s="201"/>
      <c r="N153" s="201"/>
      <c r="P153" s="141" t="str">
        <f t="shared" si="18"/>
        <v/>
      </c>
      <c r="Q153" s="141" t="str">
        <f t="shared" si="19"/>
        <v/>
      </c>
      <c r="AA153" s="141" t="s">
        <v>1714</v>
      </c>
      <c r="AB153" s="141" t="s">
        <v>1715</v>
      </c>
    </row>
    <row r="154" spans="1:28">
      <c r="A154" s="151"/>
      <c r="B154" s="146" t="str">
        <f t="shared" si="15"/>
        <v/>
      </c>
      <c r="C154" s="151"/>
      <c r="D154" s="146" t="str">
        <f t="shared" si="16"/>
        <v/>
      </c>
      <c r="E154" s="186"/>
      <c r="F154" s="146" t="str">
        <f t="shared" si="17"/>
        <v/>
      </c>
      <c r="G154" s="185"/>
      <c r="H154" s="185"/>
      <c r="I154" s="185"/>
      <c r="J154" s="201"/>
      <c r="K154" s="200"/>
      <c r="L154" s="200"/>
      <c r="M154" s="201"/>
      <c r="N154" s="201"/>
      <c r="P154" s="141" t="str">
        <f t="shared" si="18"/>
        <v/>
      </c>
      <c r="Q154" s="141" t="str">
        <f t="shared" si="19"/>
        <v/>
      </c>
      <c r="AA154" s="141" t="s">
        <v>924</v>
      </c>
      <c r="AB154" s="141" t="s">
        <v>925</v>
      </c>
    </row>
    <row r="155" spans="1:28">
      <c r="A155" s="151"/>
      <c r="B155" s="146" t="str">
        <f t="shared" si="15"/>
        <v/>
      </c>
      <c r="C155" s="151"/>
      <c r="D155" s="146" t="str">
        <f t="shared" si="16"/>
        <v/>
      </c>
      <c r="E155" s="186"/>
      <c r="F155" s="146" t="str">
        <f t="shared" si="17"/>
        <v/>
      </c>
      <c r="G155" s="185"/>
      <c r="H155" s="185"/>
      <c r="I155" s="185"/>
      <c r="J155" s="201"/>
      <c r="K155" s="200"/>
      <c r="L155" s="200"/>
      <c r="M155" s="201"/>
      <c r="N155" s="201"/>
      <c r="P155" s="141" t="str">
        <f t="shared" si="18"/>
        <v/>
      </c>
      <c r="Q155" s="141" t="str">
        <f t="shared" si="19"/>
        <v/>
      </c>
      <c r="AA155" s="141" t="s">
        <v>926</v>
      </c>
      <c r="AB155" s="141" t="s">
        <v>927</v>
      </c>
    </row>
    <row r="156" spans="1:28">
      <c r="A156" s="151"/>
      <c r="B156" s="146" t="str">
        <f t="shared" si="15"/>
        <v/>
      </c>
      <c r="C156" s="151"/>
      <c r="D156" s="146" t="str">
        <f t="shared" si="16"/>
        <v/>
      </c>
      <c r="E156" s="186"/>
      <c r="F156" s="146" t="str">
        <f t="shared" si="17"/>
        <v/>
      </c>
      <c r="G156" s="185"/>
      <c r="H156" s="185"/>
      <c r="I156" s="185"/>
      <c r="J156" s="201"/>
      <c r="K156" s="200"/>
      <c r="L156" s="200"/>
      <c r="M156" s="201"/>
      <c r="N156" s="201"/>
      <c r="P156" s="141" t="str">
        <f t="shared" si="18"/>
        <v/>
      </c>
      <c r="Q156" s="141" t="str">
        <f t="shared" si="19"/>
        <v/>
      </c>
      <c r="AA156" s="141" t="s">
        <v>928</v>
      </c>
      <c r="AB156" s="141" t="s">
        <v>929</v>
      </c>
    </row>
    <row r="157" spans="1:28">
      <c r="A157" s="151"/>
      <c r="B157" s="146" t="str">
        <f t="shared" si="15"/>
        <v/>
      </c>
      <c r="C157" s="151"/>
      <c r="D157" s="146" t="str">
        <f t="shared" si="16"/>
        <v/>
      </c>
      <c r="E157" s="186"/>
      <c r="F157" s="146" t="str">
        <f t="shared" si="17"/>
        <v/>
      </c>
      <c r="G157" s="185"/>
      <c r="H157" s="185"/>
      <c r="I157" s="185"/>
      <c r="J157" s="201"/>
      <c r="K157" s="200"/>
      <c r="L157" s="200"/>
      <c r="M157" s="201"/>
      <c r="N157" s="201"/>
      <c r="P157" s="141" t="str">
        <f t="shared" si="18"/>
        <v/>
      </c>
      <c r="Q157" s="141" t="str">
        <f t="shared" si="19"/>
        <v/>
      </c>
      <c r="AA157" s="141" t="s">
        <v>930</v>
      </c>
      <c r="AB157" s="141" t="s">
        <v>931</v>
      </c>
    </row>
    <row r="158" spans="1:28">
      <c r="A158" s="151"/>
      <c r="B158" s="146" t="str">
        <f t="shared" si="15"/>
        <v/>
      </c>
      <c r="C158" s="151"/>
      <c r="D158" s="146" t="str">
        <f t="shared" si="16"/>
        <v/>
      </c>
      <c r="E158" s="186"/>
      <c r="F158" s="146" t="str">
        <f t="shared" si="17"/>
        <v/>
      </c>
      <c r="G158" s="185"/>
      <c r="H158" s="185"/>
      <c r="I158" s="185"/>
      <c r="J158" s="201"/>
      <c r="K158" s="200"/>
      <c r="L158" s="200"/>
      <c r="M158" s="201"/>
      <c r="N158" s="201"/>
      <c r="P158" s="141" t="str">
        <f t="shared" si="18"/>
        <v/>
      </c>
      <c r="Q158" s="141" t="str">
        <f t="shared" si="19"/>
        <v/>
      </c>
      <c r="AA158" s="141" t="s">
        <v>932</v>
      </c>
      <c r="AB158" s="141" t="s">
        <v>933</v>
      </c>
    </row>
    <row r="159" spans="1:28">
      <c r="A159" s="151"/>
      <c r="B159" s="146" t="str">
        <f t="shared" si="15"/>
        <v/>
      </c>
      <c r="C159" s="151"/>
      <c r="D159" s="146" t="str">
        <f t="shared" si="16"/>
        <v/>
      </c>
      <c r="E159" s="186"/>
      <c r="F159" s="146" t="str">
        <f t="shared" si="17"/>
        <v/>
      </c>
      <c r="G159" s="185"/>
      <c r="H159" s="185"/>
      <c r="I159" s="185"/>
      <c r="J159" s="201"/>
      <c r="K159" s="200"/>
      <c r="L159" s="200"/>
      <c r="M159" s="201"/>
      <c r="N159" s="201"/>
      <c r="P159" s="141" t="str">
        <f t="shared" si="18"/>
        <v/>
      </c>
      <c r="Q159" s="141" t="str">
        <f t="shared" si="19"/>
        <v/>
      </c>
      <c r="AA159" s="141" t="s">
        <v>934</v>
      </c>
      <c r="AB159" s="141" t="s">
        <v>935</v>
      </c>
    </row>
    <row r="160" spans="1:28">
      <c r="A160" s="151"/>
      <c r="B160" s="146" t="str">
        <f t="shared" si="15"/>
        <v/>
      </c>
      <c r="C160" s="151"/>
      <c r="D160" s="146" t="str">
        <f t="shared" si="16"/>
        <v/>
      </c>
      <c r="E160" s="186"/>
      <c r="F160" s="146" t="str">
        <f t="shared" si="17"/>
        <v/>
      </c>
      <c r="G160" s="185"/>
      <c r="H160" s="185"/>
      <c r="I160" s="185"/>
      <c r="J160" s="201"/>
      <c r="K160" s="200"/>
      <c r="L160" s="200"/>
      <c r="M160" s="201"/>
      <c r="N160" s="201"/>
      <c r="P160" s="141" t="str">
        <f t="shared" si="18"/>
        <v/>
      </c>
      <c r="Q160" s="141" t="str">
        <f t="shared" si="19"/>
        <v/>
      </c>
      <c r="AA160" s="141" t="s">
        <v>936</v>
      </c>
      <c r="AB160" s="141" t="s">
        <v>937</v>
      </c>
    </row>
    <row r="161" spans="1:28">
      <c r="A161" s="151"/>
      <c r="B161" s="146" t="str">
        <f t="shared" si="15"/>
        <v/>
      </c>
      <c r="C161" s="151"/>
      <c r="D161" s="146" t="str">
        <f t="shared" si="16"/>
        <v/>
      </c>
      <c r="E161" s="186"/>
      <c r="F161" s="146" t="str">
        <f t="shared" si="17"/>
        <v/>
      </c>
      <c r="G161" s="185"/>
      <c r="H161" s="185"/>
      <c r="I161" s="185"/>
      <c r="J161" s="201"/>
      <c r="K161" s="200"/>
      <c r="L161" s="200"/>
      <c r="M161" s="201"/>
      <c r="N161" s="201"/>
      <c r="P161" s="141" t="str">
        <f t="shared" si="18"/>
        <v/>
      </c>
      <c r="Q161" s="141" t="str">
        <f t="shared" si="19"/>
        <v/>
      </c>
      <c r="AA161" s="141" t="s">
        <v>938</v>
      </c>
      <c r="AB161" s="141" t="s">
        <v>939</v>
      </c>
    </row>
    <row r="162" spans="1:28">
      <c r="A162" s="151"/>
      <c r="B162" s="146" t="str">
        <f t="shared" si="15"/>
        <v/>
      </c>
      <c r="C162" s="151"/>
      <c r="D162" s="146" t="str">
        <f t="shared" si="16"/>
        <v/>
      </c>
      <c r="E162" s="186"/>
      <c r="F162" s="146" t="str">
        <f t="shared" si="17"/>
        <v/>
      </c>
      <c r="G162" s="185"/>
      <c r="H162" s="185"/>
      <c r="I162" s="185"/>
      <c r="J162" s="201"/>
      <c r="K162" s="200"/>
      <c r="L162" s="200"/>
      <c r="M162" s="201"/>
      <c r="N162" s="201"/>
      <c r="P162" s="141" t="str">
        <f t="shared" si="18"/>
        <v/>
      </c>
      <c r="Q162" s="141" t="str">
        <f t="shared" si="19"/>
        <v/>
      </c>
      <c r="AA162" s="141" t="s">
        <v>940</v>
      </c>
      <c r="AB162" s="141" t="s">
        <v>941</v>
      </c>
    </row>
    <row r="163" spans="1:28">
      <c r="A163" s="151"/>
      <c r="B163" s="146" t="str">
        <f t="shared" si="15"/>
        <v/>
      </c>
      <c r="C163" s="151"/>
      <c r="D163" s="146" t="str">
        <f t="shared" si="16"/>
        <v/>
      </c>
      <c r="E163" s="186"/>
      <c r="F163" s="146" t="str">
        <f t="shared" si="17"/>
        <v/>
      </c>
      <c r="G163" s="185"/>
      <c r="H163" s="185"/>
      <c r="I163" s="185"/>
      <c r="J163" s="201"/>
      <c r="K163" s="200"/>
      <c r="L163" s="200"/>
      <c r="M163" s="201"/>
      <c r="N163" s="201"/>
      <c r="P163" s="141" t="str">
        <f t="shared" si="18"/>
        <v/>
      </c>
      <c r="Q163" s="141" t="str">
        <f t="shared" si="19"/>
        <v/>
      </c>
      <c r="AA163" s="141" t="s">
        <v>942</v>
      </c>
      <c r="AB163" s="141" t="s">
        <v>943</v>
      </c>
    </row>
    <row r="164" spans="1:28">
      <c r="A164" s="151"/>
      <c r="B164" s="146" t="str">
        <f t="shared" si="15"/>
        <v/>
      </c>
      <c r="C164" s="151"/>
      <c r="D164" s="146" t="str">
        <f t="shared" si="16"/>
        <v/>
      </c>
      <c r="E164" s="186"/>
      <c r="F164" s="146" t="str">
        <f t="shared" si="17"/>
        <v/>
      </c>
      <c r="G164" s="185"/>
      <c r="H164" s="185"/>
      <c r="I164" s="185"/>
      <c r="J164" s="201"/>
      <c r="K164" s="200"/>
      <c r="L164" s="200"/>
      <c r="M164" s="201"/>
      <c r="N164" s="201"/>
      <c r="P164" s="141" t="str">
        <f t="shared" si="18"/>
        <v/>
      </c>
      <c r="Q164" s="141" t="str">
        <f t="shared" si="19"/>
        <v/>
      </c>
      <c r="AA164" s="141" t="s">
        <v>944</v>
      </c>
      <c r="AB164" s="141" t="s">
        <v>945</v>
      </c>
    </row>
    <row r="165" spans="1:28">
      <c r="A165" s="151"/>
      <c r="B165" s="146" t="str">
        <f t="shared" si="15"/>
        <v/>
      </c>
      <c r="C165" s="151"/>
      <c r="D165" s="146" t="str">
        <f t="shared" si="16"/>
        <v/>
      </c>
      <c r="E165" s="186"/>
      <c r="F165" s="146" t="str">
        <f t="shared" si="17"/>
        <v/>
      </c>
      <c r="G165" s="185"/>
      <c r="H165" s="185"/>
      <c r="I165" s="185"/>
      <c r="J165" s="201"/>
      <c r="K165" s="200"/>
      <c r="L165" s="200"/>
      <c r="M165" s="201"/>
      <c r="N165" s="201"/>
      <c r="P165" s="141" t="str">
        <f t="shared" si="18"/>
        <v/>
      </c>
      <c r="Q165" s="141" t="str">
        <f t="shared" si="19"/>
        <v/>
      </c>
      <c r="AA165" s="141" t="s">
        <v>946</v>
      </c>
      <c r="AB165" s="141" t="s">
        <v>947</v>
      </c>
    </row>
    <row r="166" spans="1:28">
      <c r="A166" s="151"/>
      <c r="B166" s="146" t="str">
        <f t="shared" si="15"/>
        <v/>
      </c>
      <c r="C166" s="151"/>
      <c r="D166" s="146" t="str">
        <f t="shared" si="16"/>
        <v/>
      </c>
      <c r="E166" s="186"/>
      <c r="F166" s="146" t="str">
        <f t="shared" si="17"/>
        <v/>
      </c>
      <c r="G166" s="185"/>
      <c r="H166" s="185"/>
      <c r="I166" s="185"/>
      <c r="J166" s="201"/>
      <c r="K166" s="200"/>
      <c r="L166" s="200"/>
      <c r="M166" s="201"/>
      <c r="N166" s="201"/>
      <c r="P166" s="141" t="str">
        <f t="shared" si="18"/>
        <v/>
      </c>
      <c r="Q166" s="141" t="str">
        <f t="shared" si="19"/>
        <v/>
      </c>
      <c r="AA166" s="141" t="s">
        <v>948</v>
      </c>
      <c r="AB166" s="141" t="s">
        <v>949</v>
      </c>
    </row>
    <row r="167" spans="1:28">
      <c r="A167" s="151"/>
      <c r="B167" s="146" t="str">
        <f t="shared" si="15"/>
        <v/>
      </c>
      <c r="C167" s="151"/>
      <c r="D167" s="146" t="str">
        <f t="shared" si="16"/>
        <v/>
      </c>
      <c r="E167" s="186"/>
      <c r="F167" s="146" t="str">
        <f t="shared" si="17"/>
        <v/>
      </c>
      <c r="G167" s="185"/>
      <c r="H167" s="185"/>
      <c r="I167" s="185"/>
      <c r="J167" s="201"/>
      <c r="K167" s="200"/>
      <c r="L167" s="200"/>
      <c r="M167" s="201"/>
      <c r="N167" s="201"/>
      <c r="P167" s="141" t="str">
        <f t="shared" si="18"/>
        <v/>
      </c>
      <c r="Q167" s="141" t="str">
        <f t="shared" si="19"/>
        <v/>
      </c>
      <c r="AA167" s="141" t="s">
        <v>950</v>
      </c>
      <c r="AB167" s="141" t="s">
        <v>951</v>
      </c>
    </row>
    <row r="168" spans="1:28">
      <c r="A168" s="151"/>
      <c r="B168" s="146" t="str">
        <f t="shared" si="15"/>
        <v/>
      </c>
      <c r="C168" s="151"/>
      <c r="D168" s="146" t="str">
        <f t="shared" si="16"/>
        <v/>
      </c>
      <c r="E168" s="186"/>
      <c r="F168" s="146" t="str">
        <f t="shared" si="17"/>
        <v/>
      </c>
      <c r="G168" s="185"/>
      <c r="H168" s="185"/>
      <c r="I168" s="185"/>
      <c r="J168" s="201"/>
      <c r="K168" s="200"/>
      <c r="L168" s="200"/>
      <c r="M168" s="201"/>
      <c r="N168" s="201"/>
      <c r="P168" s="141" t="str">
        <f t="shared" si="18"/>
        <v/>
      </c>
      <c r="Q168" s="141" t="str">
        <f t="shared" si="19"/>
        <v/>
      </c>
      <c r="AA168" s="141" t="s">
        <v>952</v>
      </c>
      <c r="AB168" s="141" t="s">
        <v>953</v>
      </c>
    </row>
    <row r="169" spans="1:28">
      <c r="A169" s="151"/>
      <c r="B169" s="146" t="str">
        <f t="shared" si="15"/>
        <v/>
      </c>
      <c r="C169" s="151"/>
      <c r="D169" s="146" t="str">
        <f t="shared" si="16"/>
        <v/>
      </c>
      <c r="E169" s="186"/>
      <c r="F169" s="146" t="str">
        <f t="shared" si="17"/>
        <v/>
      </c>
      <c r="G169" s="185"/>
      <c r="H169" s="185"/>
      <c r="I169" s="185"/>
      <c r="J169" s="201"/>
      <c r="K169" s="200"/>
      <c r="L169" s="200"/>
      <c r="M169" s="201"/>
      <c r="N169" s="201"/>
      <c r="P169" s="141" t="str">
        <f t="shared" si="18"/>
        <v/>
      </c>
      <c r="Q169" s="141" t="str">
        <f t="shared" si="19"/>
        <v/>
      </c>
      <c r="AA169" s="141" t="s">
        <v>954</v>
      </c>
      <c r="AB169" s="141" t="s">
        <v>955</v>
      </c>
    </row>
    <row r="170" spans="1:28">
      <c r="A170" s="151"/>
      <c r="B170" s="146" t="str">
        <f t="shared" si="15"/>
        <v/>
      </c>
      <c r="C170" s="151"/>
      <c r="D170" s="146" t="str">
        <f t="shared" si="16"/>
        <v/>
      </c>
      <c r="E170" s="186"/>
      <c r="F170" s="146" t="str">
        <f t="shared" si="17"/>
        <v/>
      </c>
      <c r="G170" s="185"/>
      <c r="H170" s="185"/>
      <c r="I170" s="185"/>
      <c r="J170" s="201"/>
      <c r="K170" s="200"/>
      <c r="L170" s="200"/>
      <c r="M170" s="201"/>
      <c r="N170" s="201"/>
      <c r="P170" s="141" t="str">
        <f t="shared" si="18"/>
        <v/>
      </c>
      <c r="Q170" s="141" t="str">
        <f t="shared" si="19"/>
        <v/>
      </c>
      <c r="AA170" s="141" t="s">
        <v>956</v>
      </c>
      <c r="AB170" s="141" t="s">
        <v>957</v>
      </c>
    </row>
    <row r="171" spans="1:28">
      <c r="A171" s="151"/>
      <c r="B171" s="146" t="str">
        <f t="shared" si="15"/>
        <v/>
      </c>
      <c r="C171" s="151"/>
      <c r="D171" s="146" t="str">
        <f t="shared" si="16"/>
        <v/>
      </c>
      <c r="E171" s="186"/>
      <c r="F171" s="146" t="str">
        <f t="shared" si="17"/>
        <v/>
      </c>
      <c r="G171" s="185"/>
      <c r="H171" s="185"/>
      <c r="I171" s="185"/>
      <c r="J171" s="201"/>
      <c r="K171" s="200"/>
      <c r="L171" s="200"/>
      <c r="M171" s="201"/>
      <c r="N171" s="201"/>
      <c r="P171" s="141" t="str">
        <f t="shared" si="18"/>
        <v/>
      </c>
      <c r="Q171" s="141" t="str">
        <f t="shared" si="19"/>
        <v/>
      </c>
      <c r="AA171" s="141" t="s">
        <v>958</v>
      </c>
      <c r="AB171" s="141" t="s">
        <v>959</v>
      </c>
    </row>
    <row r="172" spans="1:28">
      <c r="A172" s="151"/>
      <c r="B172" s="146" t="str">
        <f t="shared" si="15"/>
        <v/>
      </c>
      <c r="C172" s="151"/>
      <c r="D172" s="146" t="str">
        <f t="shared" si="16"/>
        <v/>
      </c>
      <c r="E172" s="186"/>
      <c r="F172" s="146" t="str">
        <f t="shared" si="17"/>
        <v/>
      </c>
      <c r="G172" s="185"/>
      <c r="H172" s="185"/>
      <c r="I172" s="185"/>
      <c r="J172" s="201"/>
      <c r="K172" s="200"/>
      <c r="L172" s="200"/>
      <c r="M172" s="201"/>
      <c r="N172" s="201"/>
      <c r="P172" s="141" t="str">
        <f t="shared" si="18"/>
        <v/>
      </c>
      <c r="Q172" s="141" t="str">
        <f t="shared" si="19"/>
        <v/>
      </c>
      <c r="AA172" s="141" t="s">
        <v>960</v>
      </c>
      <c r="AB172" s="141" t="s">
        <v>961</v>
      </c>
    </row>
    <row r="173" spans="1:28">
      <c r="A173" s="151"/>
      <c r="B173" s="146" t="str">
        <f t="shared" si="15"/>
        <v/>
      </c>
      <c r="C173" s="151"/>
      <c r="D173" s="146" t="str">
        <f t="shared" si="16"/>
        <v/>
      </c>
      <c r="E173" s="186"/>
      <c r="F173" s="146" t="str">
        <f t="shared" si="17"/>
        <v/>
      </c>
      <c r="G173" s="185"/>
      <c r="H173" s="185"/>
      <c r="I173" s="185"/>
      <c r="J173" s="201"/>
      <c r="K173" s="200"/>
      <c r="L173" s="200"/>
      <c r="M173" s="201"/>
      <c r="N173" s="201"/>
      <c r="P173" s="141" t="str">
        <f t="shared" si="18"/>
        <v/>
      </c>
      <c r="Q173" s="141" t="str">
        <f t="shared" si="19"/>
        <v/>
      </c>
      <c r="AA173" s="141" t="s">
        <v>962</v>
      </c>
      <c r="AB173" s="141" t="s">
        <v>963</v>
      </c>
    </row>
    <row r="174" spans="1:28">
      <c r="A174" s="151"/>
      <c r="B174" s="146" t="str">
        <f t="shared" si="15"/>
        <v/>
      </c>
      <c r="C174" s="151"/>
      <c r="D174" s="146" t="str">
        <f t="shared" si="16"/>
        <v/>
      </c>
      <c r="E174" s="186"/>
      <c r="F174" s="146" t="str">
        <f t="shared" si="17"/>
        <v/>
      </c>
      <c r="G174" s="185"/>
      <c r="H174" s="185"/>
      <c r="I174" s="185"/>
      <c r="J174" s="201"/>
      <c r="K174" s="200"/>
      <c r="L174" s="200"/>
      <c r="M174" s="201"/>
      <c r="N174" s="201"/>
      <c r="P174" s="141" t="str">
        <f t="shared" si="18"/>
        <v/>
      </c>
      <c r="Q174" s="141" t="str">
        <f t="shared" si="19"/>
        <v/>
      </c>
      <c r="AA174" s="141" t="s">
        <v>964</v>
      </c>
      <c r="AB174" s="141" t="s">
        <v>965</v>
      </c>
    </row>
    <row r="175" spans="1:28">
      <c r="A175" s="151"/>
      <c r="B175" s="146" t="str">
        <f t="shared" si="15"/>
        <v/>
      </c>
      <c r="C175" s="151"/>
      <c r="D175" s="146" t="str">
        <f t="shared" si="16"/>
        <v/>
      </c>
      <c r="E175" s="186"/>
      <c r="F175" s="146" t="str">
        <f t="shared" si="17"/>
        <v/>
      </c>
      <c r="G175" s="185"/>
      <c r="H175" s="185"/>
      <c r="I175" s="185"/>
      <c r="J175" s="201"/>
      <c r="K175" s="200"/>
      <c r="L175" s="200"/>
      <c r="M175" s="201"/>
      <c r="N175" s="201"/>
      <c r="P175" s="141" t="str">
        <f t="shared" si="18"/>
        <v/>
      </c>
      <c r="Q175" s="141" t="str">
        <f t="shared" si="19"/>
        <v/>
      </c>
      <c r="AA175" s="141" t="s">
        <v>966</v>
      </c>
      <c r="AB175" s="141" t="s">
        <v>967</v>
      </c>
    </row>
    <row r="176" spans="1:28">
      <c r="A176" s="151"/>
      <c r="B176" s="146" t="str">
        <f t="shared" si="15"/>
        <v/>
      </c>
      <c r="C176" s="151"/>
      <c r="D176" s="146" t="str">
        <f t="shared" si="16"/>
        <v/>
      </c>
      <c r="E176" s="186"/>
      <c r="F176" s="146" t="str">
        <f t="shared" si="17"/>
        <v/>
      </c>
      <c r="G176" s="185"/>
      <c r="H176" s="185"/>
      <c r="I176" s="185"/>
      <c r="J176" s="201"/>
      <c r="K176" s="200"/>
      <c r="L176" s="200"/>
      <c r="M176" s="201"/>
      <c r="N176" s="201"/>
      <c r="P176" s="141" t="str">
        <f t="shared" si="18"/>
        <v/>
      </c>
      <c r="Q176" s="141" t="str">
        <f t="shared" si="19"/>
        <v/>
      </c>
      <c r="AA176" s="141" t="s">
        <v>968</v>
      </c>
      <c r="AB176" s="141" t="s">
        <v>969</v>
      </c>
    </row>
    <row r="177" spans="1:28">
      <c r="A177" s="151"/>
      <c r="B177" s="146" t="str">
        <f t="shared" si="15"/>
        <v/>
      </c>
      <c r="C177" s="151"/>
      <c r="D177" s="146" t="str">
        <f t="shared" si="16"/>
        <v/>
      </c>
      <c r="E177" s="186"/>
      <c r="F177" s="146" t="str">
        <f t="shared" si="17"/>
        <v/>
      </c>
      <c r="G177" s="185"/>
      <c r="H177" s="185"/>
      <c r="I177" s="185"/>
      <c r="J177" s="201"/>
      <c r="K177" s="200"/>
      <c r="L177" s="200"/>
      <c r="M177" s="201"/>
      <c r="N177" s="201"/>
      <c r="P177" s="141" t="str">
        <f t="shared" si="18"/>
        <v/>
      </c>
      <c r="Q177" s="141" t="str">
        <f t="shared" si="19"/>
        <v/>
      </c>
      <c r="AA177" s="141" t="s">
        <v>970</v>
      </c>
      <c r="AB177" s="141" t="s">
        <v>971</v>
      </c>
    </row>
    <row r="178" spans="1:28">
      <c r="A178" s="151"/>
      <c r="B178" s="146" t="str">
        <f t="shared" si="15"/>
        <v/>
      </c>
      <c r="C178" s="151"/>
      <c r="D178" s="146" t="str">
        <f t="shared" si="16"/>
        <v/>
      </c>
      <c r="E178" s="186"/>
      <c r="F178" s="146" t="str">
        <f t="shared" si="17"/>
        <v/>
      </c>
      <c r="G178" s="185"/>
      <c r="H178" s="185"/>
      <c r="I178" s="185"/>
      <c r="J178" s="201"/>
      <c r="K178" s="200"/>
      <c r="L178" s="200"/>
      <c r="M178" s="201"/>
      <c r="N178" s="201"/>
      <c r="P178" s="141" t="str">
        <f t="shared" si="18"/>
        <v/>
      </c>
      <c r="Q178" s="141" t="str">
        <f t="shared" si="19"/>
        <v/>
      </c>
      <c r="AA178" s="141" t="s">
        <v>972</v>
      </c>
      <c r="AB178" s="141" t="s">
        <v>973</v>
      </c>
    </row>
    <row r="179" spans="1:28">
      <c r="A179" s="151"/>
      <c r="B179" s="146" t="str">
        <f t="shared" si="15"/>
        <v/>
      </c>
      <c r="C179" s="151"/>
      <c r="D179" s="146" t="str">
        <f t="shared" si="16"/>
        <v/>
      </c>
      <c r="E179" s="186"/>
      <c r="F179" s="146" t="str">
        <f t="shared" si="17"/>
        <v/>
      </c>
      <c r="G179" s="185"/>
      <c r="H179" s="185"/>
      <c r="I179" s="185"/>
      <c r="J179" s="201"/>
      <c r="K179" s="200"/>
      <c r="L179" s="200"/>
      <c r="M179" s="201"/>
      <c r="N179" s="201"/>
      <c r="P179" s="141" t="str">
        <f t="shared" si="18"/>
        <v/>
      </c>
      <c r="Q179" s="141" t="str">
        <f t="shared" si="19"/>
        <v/>
      </c>
      <c r="AA179" s="141" t="s">
        <v>974</v>
      </c>
      <c r="AB179" s="141" t="s">
        <v>975</v>
      </c>
    </row>
    <row r="180" spans="1:28">
      <c r="A180" s="151"/>
      <c r="B180" s="146" t="str">
        <f t="shared" si="15"/>
        <v/>
      </c>
      <c r="C180" s="151"/>
      <c r="D180" s="146" t="str">
        <f t="shared" si="16"/>
        <v/>
      </c>
      <c r="E180" s="186"/>
      <c r="F180" s="146" t="str">
        <f t="shared" si="17"/>
        <v/>
      </c>
      <c r="G180" s="185"/>
      <c r="H180" s="185"/>
      <c r="I180" s="185"/>
      <c r="J180" s="201"/>
      <c r="K180" s="200"/>
      <c r="L180" s="200"/>
      <c r="M180" s="201"/>
      <c r="N180" s="201"/>
      <c r="P180" s="141" t="str">
        <f t="shared" si="18"/>
        <v/>
      </c>
      <c r="Q180" s="141" t="str">
        <f t="shared" si="19"/>
        <v/>
      </c>
      <c r="AA180" s="141" t="s">
        <v>976</v>
      </c>
      <c r="AB180" s="141" t="s">
        <v>977</v>
      </c>
    </row>
    <row r="181" spans="1:28">
      <c r="A181" s="151"/>
      <c r="B181" s="146" t="str">
        <f t="shared" si="15"/>
        <v/>
      </c>
      <c r="C181" s="151"/>
      <c r="D181" s="146" t="str">
        <f t="shared" si="16"/>
        <v/>
      </c>
      <c r="E181" s="186"/>
      <c r="F181" s="146" t="str">
        <f t="shared" si="17"/>
        <v/>
      </c>
      <c r="G181" s="185"/>
      <c r="H181" s="185"/>
      <c r="I181" s="185"/>
      <c r="J181" s="201"/>
      <c r="K181" s="200"/>
      <c r="L181" s="200"/>
      <c r="M181" s="201"/>
      <c r="N181" s="201"/>
      <c r="P181" s="141" t="str">
        <f t="shared" si="18"/>
        <v/>
      </c>
      <c r="Q181" s="141" t="str">
        <f t="shared" si="19"/>
        <v/>
      </c>
      <c r="AA181" s="141" t="s">
        <v>978</v>
      </c>
      <c r="AB181" s="141" t="s">
        <v>979</v>
      </c>
    </row>
    <row r="182" spans="1:28">
      <c r="A182" s="151"/>
      <c r="B182" s="146" t="str">
        <f t="shared" si="15"/>
        <v/>
      </c>
      <c r="C182" s="151"/>
      <c r="D182" s="146" t="str">
        <f t="shared" si="16"/>
        <v/>
      </c>
      <c r="E182" s="186"/>
      <c r="F182" s="146" t="str">
        <f t="shared" si="17"/>
        <v/>
      </c>
      <c r="G182" s="185"/>
      <c r="H182" s="185"/>
      <c r="I182" s="185"/>
      <c r="J182" s="201"/>
      <c r="K182" s="200"/>
      <c r="L182" s="200"/>
      <c r="M182" s="201"/>
      <c r="N182" s="201"/>
      <c r="P182" s="141" t="str">
        <f t="shared" si="18"/>
        <v/>
      </c>
      <c r="Q182" s="141" t="str">
        <f t="shared" si="19"/>
        <v/>
      </c>
      <c r="AA182" s="141" t="s">
        <v>980</v>
      </c>
      <c r="AB182" s="141" t="s">
        <v>981</v>
      </c>
    </row>
    <row r="183" spans="1:28">
      <c r="A183" s="151"/>
      <c r="B183" s="146" t="str">
        <f t="shared" si="15"/>
        <v/>
      </c>
      <c r="C183" s="151"/>
      <c r="D183" s="146" t="str">
        <f t="shared" si="16"/>
        <v/>
      </c>
      <c r="E183" s="186"/>
      <c r="F183" s="146" t="str">
        <f t="shared" si="17"/>
        <v/>
      </c>
      <c r="G183" s="185"/>
      <c r="H183" s="185"/>
      <c r="I183" s="185"/>
      <c r="J183" s="201"/>
      <c r="K183" s="200"/>
      <c r="L183" s="200"/>
      <c r="M183" s="201"/>
      <c r="N183" s="201"/>
      <c r="P183" s="141" t="str">
        <f t="shared" si="18"/>
        <v/>
      </c>
      <c r="Q183" s="141" t="str">
        <f t="shared" si="19"/>
        <v/>
      </c>
      <c r="AA183" s="141" t="s">
        <v>982</v>
      </c>
      <c r="AB183" s="141" t="s">
        <v>983</v>
      </c>
    </row>
    <row r="184" spans="1:28">
      <c r="A184" s="151"/>
      <c r="B184" s="146" t="str">
        <f t="shared" si="15"/>
        <v/>
      </c>
      <c r="C184" s="151"/>
      <c r="D184" s="146" t="str">
        <f t="shared" si="16"/>
        <v/>
      </c>
      <c r="E184" s="186"/>
      <c r="F184" s="146" t="str">
        <f t="shared" si="17"/>
        <v/>
      </c>
      <c r="G184" s="185"/>
      <c r="H184" s="185"/>
      <c r="I184" s="185"/>
      <c r="J184" s="201"/>
      <c r="K184" s="200"/>
      <c r="L184" s="200"/>
      <c r="M184" s="201"/>
      <c r="N184" s="201"/>
      <c r="P184" s="141" t="str">
        <f t="shared" si="18"/>
        <v/>
      </c>
      <c r="Q184" s="141" t="str">
        <f t="shared" si="19"/>
        <v/>
      </c>
      <c r="AA184" s="141" t="s">
        <v>984</v>
      </c>
      <c r="AB184" s="141" t="s">
        <v>985</v>
      </c>
    </row>
    <row r="185" spans="1:28">
      <c r="A185" s="151"/>
      <c r="B185" s="146" t="str">
        <f t="shared" si="15"/>
        <v/>
      </c>
      <c r="C185" s="151"/>
      <c r="D185" s="146" t="str">
        <f t="shared" si="16"/>
        <v/>
      </c>
      <c r="E185" s="186"/>
      <c r="F185" s="146" t="str">
        <f t="shared" si="17"/>
        <v/>
      </c>
      <c r="G185" s="185"/>
      <c r="H185" s="185"/>
      <c r="I185" s="185"/>
      <c r="J185" s="201"/>
      <c r="K185" s="200"/>
      <c r="L185" s="200"/>
      <c r="M185" s="201"/>
      <c r="N185" s="201"/>
      <c r="P185" s="141" t="str">
        <f t="shared" si="18"/>
        <v/>
      </c>
      <c r="Q185" s="141" t="str">
        <f t="shared" si="19"/>
        <v/>
      </c>
      <c r="AA185" s="141" t="s">
        <v>986</v>
      </c>
      <c r="AB185" s="141" t="s">
        <v>985</v>
      </c>
    </row>
    <row r="186" spans="1:28">
      <c r="A186" s="151"/>
      <c r="B186" s="146" t="str">
        <f t="shared" si="15"/>
        <v/>
      </c>
      <c r="C186" s="151"/>
      <c r="D186" s="146" t="str">
        <f t="shared" si="16"/>
        <v/>
      </c>
      <c r="E186" s="186"/>
      <c r="F186" s="146" t="str">
        <f t="shared" si="17"/>
        <v/>
      </c>
      <c r="G186" s="185"/>
      <c r="H186" s="185"/>
      <c r="I186" s="185"/>
      <c r="J186" s="201"/>
      <c r="K186" s="200"/>
      <c r="L186" s="200"/>
      <c r="M186" s="201"/>
      <c r="N186" s="201"/>
      <c r="P186" s="141" t="str">
        <f t="shared" si="18"/>
        <v/>
      </c>
      <c r="Q186" s="141" t="str">
        <f t="shared" si="19"/>
        <v/>
      </c>
      <c r="AA186" s="141" t="s">
        <v>987</v>
      </c>
      <c r="AB186" s="141" t="s">
        <v>988</v>
      </c>
    </row>
    <row r="187" spans="1:28">
      <c r="A187" s="151"/>
      <c r="B187" s="146" t="str">
        <f t="shared" si="15"/>
        <v/>
      </c>
      <c r="C187" s="151"/>
      <c r="D187" s="146" t="str">
        <f t="shared" si="16"/>
        <v/>
      </c>
      <c r="E187" s="186"/>
      <c r="F187" s="146" t="str">
        <f t="shared" si="17"/>
        <v/>
      </c>
      <c r="G187" s="185"/>
      <c r="H187" s="185"/>
      <c r="I187" s="185"/>
      <c r="J187" s="201"/>
      <c r="K187" s="200"/>
      <c r="L187" s="200"/>
      <c r="M187" s="201"/>
      <c r="N187" s="201"/>
      <c r="P187" s="141" t="str">
        <f t="shared" si="18"/>
        <v/>
      </c>
      <c r="Q187" s="141" t="str">
        <f t="shared" si="19"/>
        <v/>
      </c>
      <c r="AA187" s="141" t="s">
        <v>989</v>
      </c>
      <c r="AB187" s="141" t="s">
        <v>990</v>
      </c>
    </row>
    <row r="188" spans="1:28">
      <c r="A188" s="151"/>
      <c r="B188" s="146" t="str">
        <f t="shared" si="15"/>
        <v/>
      </c>
      <c r="C188" s="151"/>
      <c r="D188" s="146" t="str">
        <f t="shared" si="16"/>
        <v/>
      </c>
      <c r="E188" s="186"/>
      <c r="F188" s="146" t="str">
        <f t="shared" si="17"/>
        <v/>
      </c>
      <c r="G188" s="185"/>
      <c r="H188" s="185"/>
      <c r="I188" s="185"/>
      <c r="J188" s="201"/>
      <c r="K188" s="200"/>
      <c r="L188" s="200"/>
      <c r="M188" s="201"/>
      <c r="N188" s="201"/>
      <c r="P188" s="141" t="str">
        <f t="shared" si="18"/>
        <v/>
      </c>
      <c r="Q188" s="141" t="str">
        <f t="shared" si="19"/>
        <v/>
      </c>
      <c r="AA188" s="141" t="s">
        <v>991</v>
      </c>
      <c r="AB188" s="141" t="s">
        <v>988</v>
      </c>
    </row>
    <row r="189" spans="1:28">
      <c r="A189" s="151"/>
      <c r="B189" s="146" t="str">
        <f t="shared" si="15"/>
        <v/>
      </c>
      <c r="C189" s="151"/>
      <c r="D189" s="146" t="str">
        <f t="shared" si="16"/>
        <v/>
      </c>
      <c r="E189" s="186"/>
      <c r="F189" s="146" t="str">
        <f t="shared" si="17"/>
        <v/>
      </c>
      <c r="G189" s="185"/>
      <c r="H189" s="185"/>
      <c r="I189" s="185"/>
      <c r="J189" s="201"/>
      <c r="K189" s="200"/>
      <c r="L189" s="200"/>
      <c r="M189" s="201"/>
      <c r="N189" s="201"/>
      <c r="P189" s="141" t="str">
        <f t="shared" si="18"/>
        <v/>
      </c>
      <c r="Q189" s="141" t="str">
        <f t="shared" si="19"/>
        <v/>
      </c>
      <c r="AA189" s="141" t="s">
        <v>1716</v>
      </c>
    </row>
    <row r="190" spans="1:28">
      <c r="A190" s="151"/>
      <c r="B190" s="146" t="str">
        <f t="shared" si="15"/>
        <v/>
      </c>
      <c r="C190" s="151"/>
      <c r="D190" s="146" t="str">
        <f t="shared" si="16"/>
        <v/>
      </c>
      <c r="E190" s="186"/>
      <c r="F190" s="146" t="str">
        <f t="shared" si="17"/>
        <v/>
      </c>
      <c r="G190" s="185"/>
      <c r="H190" s="185"/>
      <c r="I190" s="185"/>
      <c r="J190" s="201"/>
      <c r="K190" s="200"/>
      <c r="L190" s="200"/>
      <c r="M190" s="201"/>
      <c r="N190" s="201"/>
      <c r="P190" s="141" t="str">
        <f t="shared" si="18"/>
        <v/>
      </c>
      <c r="Q190" s="141" t="str">
        <f t="shared" si="19"/>
        <v/>
      </c>
      <c r="AA190" s="141" t="s">
        <v>1717</v>
      </c>
      <c r="AB190" s="141" t="s">
        <v>1718</v>
      </c>
    </row>
    <row r="191" spans="1:28">
      <c r="A191" s="151"/>
      <c r="B191" s="146" t="str">
        <f t="shared" si="15"/>
        <v/>
      </c>
      <c r="C191" s="151"/>
      <c r="D191" s="146" t="str">
        <f t="shared" si="16"/>
        <v/>
      </c>
      <c r="E191" s="186"/>
      <c r="F191" s="146" t="str">
        <f t="shared" si="17"/>
        <v/>
      </c>
      <c r="G191" s="185"/>
      <c r="H191" s="185"/>
      <c r="I191" s="185"/>
      <c r="J191" s="201"/>
      <c r="K191" s="200"/>
      <c r="L191" s="200"/>
      <c r="M191" s="201"/>
      <c r="N191" s="201"/>
      <c r="P191" s="141" t="str">
        <f t="shared" si="18"/>
        <v/>
      </c>
      <c r="Q191" s="141" t="str">
        <f t="shared" si="19"/>
        <v/>
      </c>
      <c r="AA191" s="141" t="s">
        <v>1719</v>
      </c>
      <c r="AB191" s="141" t="s">
        <v>1720</v>
      </c>
    </row>
    <row r="192" spans="1:28">
      <c r="A192" s="151"/>
      <c r="B192" s="146" t="str">
        <f t="shared" si="15"/>
        <v/>
      </c>
      <c r="C192" s="151"/>
      <c r="D192" s="146" t="str">
        <f t="shared" si="16"/>
        <v/>
      </c>
      <c r="E192" s="186"/>
      <c r="F192" s="146" t="str">
        <f t="shared" si="17"/>
        <v/>
      </c>
      <c r="G192" s="185"/>
      <c r="H192" s="185"/>
      <c r="I192" s="185"/>
      <c r="J192" s="201"/>
      <c r="K192" s="200"/>
      <c r="L192" s="200"/>
      <c r="M192" s="201"/>
      <c r="N192" s="201"/>
      <c r="P192" s="141" t="str">
        <f t="shared" si="18"/>
        <v/>
      </c>
      <c r="Q192" s="141" t="str">
        <f t="shared" si="19"/>
        <v/>
      </c>
      <c r="AA192" s="141" t="s">
        <v>1721</v>
      </c>
      <c r="AB192" s="141" t="s">
        <v>1722</v>
      </c>
    </row>
    <row r="193" spans="1:28">
      <c r="A193" s="151"/>
      <c r="B193" s="146" t="str">
        <f t="shared" si="15"/>
        <v/>
      </c>
      <c r="C193" s="151"/>
      <c r="D193" s="146" t="str">
        <f t="shared" si="16"/>
        <v/>
      </c>
      <c r="E193" s="186"/>
      <c r="F193" s="146" t="str">
        <f t="shared" si="17"/>
        <v/>
      </c>
      <c r="G193" s="185"/>
      <c r="H193" s="185"/>
      <c r="I193" s="185"/>
      <c r="J193" s="201"/>
      <c r="K193" s="200"/>
      <c r="L193" s="200"/>
      <c r="M193" s="201"/>
      <c r="N193" s="201"/>
      <c r="P193" s="141" t="str">
        <f t="shared" si="18"/>
        <v/>
      </c>
      <c r="Q193" s="141" t="str">
        <f t="shared" si="19"/>
        <v/>
      </c>
      <c r="AA193" s="141" t="s">
        <v>1723</v>
      </c>
      <c r="AB193" s="141" t="s">
        <v>1724</v>
      </c>
    </row>
    <row r="194" spans="1:28">
      <c r="A194" s="151"/>
      <c r="B194" s="146" t="str">
        <f t="shared" si="15"/>
        <v/>
      </c>
      <c r="C194" s="151"/>
      <c r="D194" s="146" t="str">
        <f t="shared" si="16"/>
        <v/>
      </c>
      <c r="E194" s="186"/>
      <c r="F194" s="146" t="str">
        <f t="shared" si="17"/>
        <v/>
      </c>
      <c r="G194" s="185"/>
      <c r="H194" s="185"/>
      <c r="I194" s="185"/>
      <c r="J194" s="201"/>
      <c r="K194" s="200"/>
      <c r="L194" s="200"/>
      <c r="M194" s="201"/>
      <c r="N194" s="201"/>
      <c r="P194" s="141" t="str">
        <f t="shared" si="18"/>
        <v/>
      </c>
      <c r="Q194" s="141" t="str">
        <f t="shared" si="19"/>
        <v/>
      </c>
      <c r="AA194" s="141" t="s">
        <v>1725</v>
      </c>
      <c r="AB194" s="141" t="s">
        <v>1726</v>
      </c>
    </row>
    <row r="195" spans="1:28">
      <c r="A195" s="151"/>
      <c r="B195" s="146" t="str">
        <f t="shared" si="15"/>
        <v/>
      </c>
      <c r="C195" s="151"/>
      <c r="D195" s="146" t="str">
        <f t="shared" si="16"/>
        <v/>
      </c>
      <c r="E195" s="186"/>
      <c r="F195" s="146" t="str">
        <f t="shared" si="17"/>
        <v/>
      </c>
      <c r="G195" s="185"/>
      <c r="H195" s="185"/>
      <c r="I195" s="185"/>
      <c r="J195" s="201"/>
      <c r="K195" s="200"/>
      <c r="L195" s="200"/>
      <c r="M195" s="201"/>
      <c r="N195" s="201"/>
      <c r="P195" s="141" t="str">
        <f t="shared" si="18"/>
        <v/>
      </c>
      <c r="Q195" s="141" t="str">
        <f t="shared" si="19"/>
        <v/>
      </c>
      <c r="AA195" s="141" t="s">
        <v>1727</v>
      </c>
      <c r="AB195" s="141" t="s">
        <v>1728</v>
      </c>
    </row>
    <row r="196" spans="1:28">
      <c r="A196" s="151"/>
      <c r="B196" s="146" t="str">
        <f t="shared" ref="B196:B259" si="20">IFERROR(VLOOKUP(A196,$R$6:$S$23,2,FALSE),"")</f>
        <v/>
      </c>
      <c r="C196" s="151"/>
      <c r="D196" s="146" t="str">
        <f t="shared" ref="D196:D259" si="21">IFERROR(VLOOKUP(C196,$U$5:$W$129,2,FALSE),"")</f>
        <v/>
      </c>
      <c r="E196" s="186"/>
      <c r="F196" s="146" t="str">
        <f t="shared" ref="F196:F259" si="22">IFERROR(VLOOKUP(E196,$AA$5:$AB$500,2,FALSE),"")</f>
        <v/>
      </c>
      <c r="G196" s="185"/>
      <c r="H196" s="185"/>
      <c r="I196" s="185"/>
      <c r="J196" s="201"/>
      <c r="K196" s="200"/>
      <c r="L196" s="200"/>
      <c r="M196" s="201"/>
      <c r="N196" s="201"/>
      <c r="P196" s="141" t="str">
        <f t="shared" ref="P196:P259" si="23">LEFT(C196,3)</f>
        <v/>
      </c>
      <c r="Q196" s="141" t="str">
        <f t="shared" ref="Q196:Q259" si="24">LEFT(C196,2)</f>
        <v/>
      </c>
      <c r="AA196" s="141" t="s">
        <v>1729</v>
      </c>
      <c r="AB196" s="141" t="s">
        <v>1730</v>
      </c>
    </row>
    <row r="197" spans="1:28">
      <c r="A197" s="151"/>
      <c r="B197" s="146" t="str">
        <f t="shared" si="20"/>
        <v/>
      </c>
      <c r="C197" s="151"/>
      <c r="D197" s="146" t="str">
        <f t="shared" si="21"/>
        <v/>
      </c>
      <c r="E197" s="186"/>
      <c r="F197" s="146" t="str">
        <f t="shared" si="22"/>
        <v/>
      </c>
      <c r="G197" s="185"/>
      <c r="H197" s="185"/>
      <c r="I197" s="185"/>
      <c r="J197" s="201"/>
      <c r="K197" s="200"/>
      <c r="L197" s="200"/>
      <c r="M197" s="201"/>
      <c r="N197" s="201"/>
      <c r="P197" s="141" t="str">
        <f t="shared" si="23"/>
        <v/>
      </c>
      <c r="Q197" s="141" t="str">
        <f t="shared" si="24"/>
        <v/>
      </c>
      <c r="AA197" s="141" t="s">
        <v>1731</v>
      </c>
      <c r="AB197" s="141" t="s">
        <v>1732</v>
      </c>
    </row>
    <row r="198" spans="1:28">
      <c r="A198" s="151"/>
      <c r="B198" s="146" t="str">
        <f t="shared" si="20"/>
        <v/>
      </c>
      <c r="C198" s="151"/>
      <c r="D198" s="146" t="str">
        <f t="shared" si="21"/>
        <v/>
      </c>
      <c r="E198" s="186"/>
      <c r="F198" s="146" t="str">
        <f t="shared" si="22"/>
        <v/>
      </c>
      <c r="G198" s="185"/>
      <c r="H198" s="185"/>
      <c r="I198" s="185"/>
      <c r="J198" s="201"/>
      <c r="K198" s="200"/>
      <c r="L198" s="200"/>
      <c r="M198" s="201"/>
      <c r="N198" s="201"/>
      <c r="P198" s="141" t="str">
        <f t="shared" si="23"/>
        <v/>
      </c>
      <c r="Q198" s="141" t="str">
        <f t="shared" si="24"/>
        <v/>
      </c>
      <c r="AA198" s="141" t="s">
        <v>1733</v>
      </c>
      <c r="AB198" s="141" t="s">
        <v>1734</v>
      </c>
    </row>
    <row r="199" spans="1:28">
      <c r="A199" s="151"/>
      <c r="B199" s="146" t="str">
        <f t="shared" si="20"/>
        <v/>
      </c>
      <c r="C199" s="151"/>
      <c r="D199" s="146" t="str">
        <f t="shared" si="21"/>
        <v/>
      </c>
      <c r="E199" s="186"/>
      <c r="F199" s="146" t="str">
        <f t="shared" si="22"/>
        <v/>
      </c>
      <c r="G199" s="185"/>
      <c r="H199" s="185"/>
      <c r="I199" s="185"/>
      <c r="J199" s="201"/>
      <c r="K199" s="200"/>
      <c r="L199" s="200"/>
      <c r="M199" s="201"/>
      <c r="N199" s="201"/>
      <c r="P199" s="141" t="str">
        <f t="shared" si="23"/>
        <v/>
      </c>
      <c r="Q199" s="141" t="str">
        <f t="shared" si="24"/>
        <v/>
      </c>
      <c r="AA199" s="141" t="s">
        <v>1735</v>
      </c>
      <c r="AB199" s="141" t="s">
        <v>1736</v>
      </c>
    </row>
    <row r="200" spans="1:28">
      <c r="A200" s="151"/>
      <c r="B200" s="146" t="str">
        <f t="shared" si="20"/>
        <v/>
      </c>
      <c r="C200" s="151"/>
      <c r="D200" s="146" t="str">
        <f t="shared" si="21"/>
        <v/>
      </c>
      <c r="E200" s="186"/>
      <c r="F200" s="146" t="str">
        <f t="shared" si="22"/>
        <v/>
      </c>
      <c r="G200" s="185"/>
      <c r="H200" s="185"/>
      <c r="I200" s="185"/>
      <c r="J200" s="201"/>
      <c r="K200" s="200"/>
      <c r="L200" s="200"/>
      <c r="M200" s="201"/>
      <c r="N200" s="201"/>
      <c r="P200" s="141" t="str">
        <f t="shared" si="23"/>
        <v/>
      </c>
      <c r="Q200" s="141" t="str">
        <f t="shared" si="24"/>
        <v/>
      </c>
      <c r="AA200" s="141" t="s">
        <v>1737</v>
      </c>
      <c r="AB200" s="141" t="s">
        <v>1738</v>
      </c>
    </row>
    <row r="201" spans="1:28">
      <c r="A201" s="151"/>
      <c r="B201" s="146" t="str">
        <f t="shared" si="20"/>
        <v/>
      </c>
      <c r="C201" s="151"/>
      <c r="D201" s="146" t="str">
        <f t="shared" si="21"/>
        <v/>
      </c>
      <c r="E201" s="186"/>
      <c r="F201" s="146" t="str">
        <f t="shared" si="22"/>
        <v/>
      </c>
      <c r="G201" s="185"/>
      <c r="H201" s="185"/>
      <c r="I201" s="185"/>
      <c r="J201" s="201"/>
      <c r="K201" s="200"/>
      <c r="L201" s="200"/>
      <c r="M201" s="201"/>
      <c r="N201" s="201"/>
      <c r="P201" s="141" t="str">
        <f t="shared" si="23"/>
        <v/>
      </c>
      <c r="Q201" s="141" t="str">
        <f t="shared" si="24"/>
        <v/>
      </c>
      <c r="AA201" s="141" t="s">
        <v>1739</v>
      </c>
      <c r="AB201" s="141" t="s">
        <v>1740</v>
      </c>
    </row>
    <row r="202" spans="1:28">
      <c r="A202" s="151"/>
      <c r="B202" s="146" t="str">
        <f t="shared" si="20"/>
        <v/>
      </c>
      <c r="C202" s="151"/>
      <c r="D202" s="146" t="str">
        <f t="shared" si="21"/>
        <v/>
      </c>
      <c r="E202" s="186"/>
      <c r="F202" s="146" t="str">
        <f t="shared" si="22"/>
        <v/>
      </c>
      <c r="G202" s="185"/>
      <c r="H202" s="185"/>
      <c r="I202" s="185"/>
      <c r="J202" s="201"/>
      <c r="K202" s="200"/>
      <c r="L202" s="200"/>
      <c r="M202" s="201"/>
      <c r="N202" s="201"/>
      <c r="P202" s="141" t="str">
        <f t="shared" si="23"/>
        <v/>
      </c>
      <c r="Q202" s="141" t="str">
        <f t="shared" si="24"/>
        <v/>
      </c>
      <c r="AA202" s="141" t="s">
        <v>1741</v>
      </c>
      <c r="AB202" s="141" t="s">
        <v>1742</v>
      </c>
    </row>
    <row r="203" spans="1:28">
      <c r="A203" s="151"/>
      <c r="B203" s="146" t="str">
        <f t="shared" si="20"/>
        <v/>
      </c>
      <c r="C203" s="151"/>
      <c r="D203" s="146" t="str">
        <f t="shared" si="21"/>
        <v/>
      </c>
      <c r="E203" s="186"/>
      <c r="F203" s="146" t="str">
        <f t="shared" si="22"/>
        <v/>
      </c>
      <c r="G203" s="185"/>
      <c r="H203" s="185"/>
      <c r="I203" s="185"/>
      <c r="J203" s="201"/>
      <c r="K203" s="200"/>
      <c r="L203" s="200"/>
      <c r="M203" s="201"/>
      <c r="N203" s="201"/>
      <c r="P203" s="141" t="str">
        <f t="shared" si="23"/>
        <v/>
      </c>
      <c r="Q203" s="141" t="str">
        <f t="shared" si="24"/>
        <v/>
      </c>
      <c r="AA203" s="141" t="s">
        <v>1743</v>
      </c>
      <c r="AB203" s="141" t="s">
        <v>1744</v>
      </c>
    </row>
    <row r="204" spans="1:28">
      <c r="A204" s="151"/>
      <c r="B204" s="146" t="str">
        <f t="shared" si="20"/>
        <v/>
      </c>
      <c r="C204" s="151"/>
      <c r="D204" s="146" t="str">
        <f t="shared" si="21"/>
        <v/>
      </c>
      <c r="E204" s="186"/>
      <c r="F204" s="146" t="str">
        <f t="shared" si="22"/>
        <v/>
      </c>
      <c r="G204" s="185"/>
      <c r="H204" s="185"/>
      <c r="I204" s="185"/>
      <c r="J204" s="201"/>
      <c r="K204" s="200"/>
      <c r="L204" s="200"/>
      <c r="M204" s="201"/>
      <c r="N204" s="201"/>
      <c r="P204" s="141" t="str">
        <f t="shared" si="23"/>
        <v/>
      </c>
      <c r="Q204" s="141" t="str">
        <f t="shared" si="24"/>
        <v/>
      </c>
      <c r="AA204" s="141" t="s">
        <v>1745</v>
      </c>
      <c r="AB204" s="141" t="s">
        <v>1746</v>
      </c>
    </row>
    <row r="205" spans="1:28">
      <c r="A205" s="151"/>
      <c r="B205" s="146" t="str">
        <f t="shared" si="20"/>
        <v/>
      </c>
      <c r="C205" s="151"/>
      <c r="D205" s="146" t="str">
        <f t="shared" si="21"/>
        <v/>
      </c>
      <c r="E205" s="186"/>
      <c r="F205" s="146" t="str">
        <f t="shared" si="22"/>
        <v/>
      </c>
      <c r="G205" s="185"/>
      <c r="H205" s="185"/>
      <c r="I205" s="185"/>
      <c r="J205" s="201"/>
      <c r="K205" s="200"/>
      <c r="L205" s="200"/>
      <c r="M205" s="201"/>
      <c r="N205" s="201"/>
      <c r="P205" s="141" t="str">
        <f t="shared" si="23"/>
        <v/>
      </c>
      <c r="Q205" s="141" t="str">
        <f t="shared" si="24"/>
        <v/>
      </c>
      <c r="AA205" s="141" t="s">
        <v>1747</v>
      </c>
      <c r="AB205" s="141" t="s">
        <v>1748</v>
      </c>
    </row>
    <row r="206" spans="1:28">
      <c r="A206" s="151"/>
      <c r="B206" s="146" t="str">
        <f t="shared" si="20"/>
        <v/>
      </c>
      <c r="C206" s="151"/>
      <c r="D206" s="146" t="str">
        <f t="shared" si="21"/>
        <v/>
      </c>
      <c r="E206" s="186"/>
      <c r="F206" s="146" t="str">
        <f t="shared" si="22"/>
        <v/>
      </c>
      <c r="G206" s="185"/>
      <c r="H206" s="185"/>
      <c r="I206" s="185"/>
      <c r="J206" s="201"/>
      <c r="K206" s="200"/>
      <c r="L206" s="200"/>
      <c r="M206" s="201"/>
      <c r="N206" s="201"/>
      <c r="P206" s="141" t="str">
        <f t="shared" si="23"/>
        <v/>
      </c>
      <c r="Q206" s="141" t="str">
        <f t="shared" si="24"/>
        <v/>
      </c>
      <c r="AA206" s="141" t="s">
        <v>1749</v>
      </c>
      <c r="AB206" s="141" t="s">
        <v>1750</v>
      </c>
    </row>
    <row r="207" spans="1:28">
      <c r="A207" s="151"/>
      <c r="B207" s="146" t="str">
        <f t="shared" si="20"/>
        <v/>
      </c>
      <c r="C207" s="151"/>
      <c r="D207" s="146" t="str">
        <f t="shared" si="21"/>
        <v/>
      </c>
      <c r="E207" s="186"/>
      <c r="F207" s="146" t="str">
        <f t="shared" si="22"/>
        <v/>
      </c>
      <c r="G207" s="185"/>
      <c r="H207" s="185"/>
      <c r="I207" s="185"/>
      <c r="J207" s="201"/>
      <c r="K207" s="200"/>
      <c r="L207" s="200"/>
      <c r="M207" s="201"/>
      <c r="N207" s="201"/>
      <c r="P207" s="141" t="str">
        <f t="shared" si="23"/>
        <v/>
      </c>
      <c r="Q207" s="141" t="str">
        <f t="shared" si="24"/>
        <v/>
      </c>
      <c r="AA207" s="141" t="s">
        <v>1751</v>
      </c>
      <c r="AB207" s="141" t="s">
        <v>1752</v>
      </c>
    </row>
    <row r="208" spans="1:28">
      <c r="A208" s="151"/>
      <c r="B208" s="146" t="str">
        <f t="shared" si="20"/>
        <v/>
      </c>
      <c r="C208" s="151"/>
      <c r="D208" s="146" t="str">
        <f t="shared" si="21"/>
        <v/>
      </c>
      <c r="E208" s="186"/>
      <c r="F208" s="146" t="str">
        <f t="shared" si="22"/>
        <v/>
      </c>
      <c r="G208" s="185"/>
      <c r="H208" s="185"/>
      <c r="I208" s="185"/>
      <c r="J208" s="201"/>
      <c r="K208" s="200"/>
      <c r="L208" s="200"/>
      <c r="M208" s="201"/>
      <c r="N208" s="201"/>
      <c r="P208" s="141" t="str">
        <f t="shared" si="23"/>
        <v/>
      </c>
      <c r="Q208" s="141" t="str">
        <f t="shared" si="24"/>
        <v/>
      </c>
      <c r="AA208" s="141" t="s">
        <v>1753</v>
      </c>
      <c r="AB208" s="141" t="s">
        <v>1754</v>
      </c>
    </row>
    <row r="209" spans="1:28">
      <c r="A209" s="151"/>
      <c r="B209" s="146" t="str">
        <f t="shared" si="20"/>
        <v/>
      </c>
      <c r="C209" s="151"/>
      <c r="D209" s="146" t="str">
        <f t="shared" si="21"/>
        <v/>
      </c>
      <c r="E209" s="186"/>
      <c r="F209" s="146" t="str">
        <f t="shared" si="22"/>
        <v/>
      </c>
      <c r="G209" s="185"/>
      <c r="H209" s="185"/>
      <c r="I209" s="185"/>
      <c r="J209" s="201"/>
      <c r="K209" s="200"/>
      <c r="L209" s="200"/>
      <c r="M209" s="201"/>
      <c r="N209" s="201"/>
      <c r="P209" s="141" t="str">
        <f t="shared" si="23"/>
        <v/>
      </c>
      <c r="Q209" s="141" t="str">
        <f t="shared" si="24"/>
        <v/>
      </c>
      <c r="AA209" s="141" t="s">
        <v>1755</v>
      </c>
      <c r="AB209" s="141" t="s">
        <v>1756</v>
      </c>
    </row>
    <row r="210" spans="1:28">
      <c r="A210" s="151"/>
      <c r="B210" s="146" t="str">
        <f t="shared" si="20"/>
        <v/>
      </c>
      <c r="C210" s="151"/>
      <c r="D210" s="146" t="str">
        <f t="shared" si="21"/>
        <v/>
      </c>
      <c r="E210" s="186"/>
      <c r="F210" s="146" t="str">
        <f t="shared" si="22"/>
        <v/>
      </c>
      <c r="G210" s="185"/>
      <c r="H210" s="185"/>
      <c r="I210" s="185"/>
      <c r="J210" s="201"/>
      <c r="K210" s="200"/>
      <c r="L210" s="200"/>
      <c r="M210" s="201"/>
      <c r="N210" s="201"/>
      <c r="P210" s="141" t="str">
        <f t="shared" si="23"/>
        <v/>
      </c>
      <c r="Q210" s="141" t="str">
        <f t="shared" si="24"/>
        <v/>
      </c>
      <c r="AA210" s="141" t="s">
        <v>1757</v>
      </c>
      <c r="AB210" s="141" t="s">
        <v>1758</v>
      </c>
    </row>
    <row r="211" spans="1:28">
      <c r="A211" s="151"/>
      <c r="B211" s="146" t="str">
        <f t="shared" si="20"/>
        <v/>
      </c>
      <c r="C211" s="151"/>
      <c r="D211" s="146" t="str">
        <f t="shared" si="21"/>
        <v/>
      </c>
      <c r="E211" s="186"/>
      <c r="F211" s="146" t="str">
        <f t="shared" si="22"/>
        <v/>
      </c>
      <c r="G211" s="185"/>
      <c r="H211" s="185"/>
      <c r="I211" s="185"/>
      <c r="J211" s="201"/>
      <c r="K211" s="200"/>
      <c r="L211" s="200"/>
      <c r="M211" s="201"/>
      <c r="N211" s="201"/>
      <c r="P211" s="141" t="str">
        <f t="shared" si="23"/>
        <v/>
      </c>
      <c r="Q211" s="141" t="str">
        <f t="shared" si="24"/>
        <v/>
      </c>
      <c r="AA211" s="141" t="s">
        <v>1759</v>
      </c>
      <c r="AB211" s="141" t="s">
        <v>1760</v>
      </c>
    </row>
    <row r="212" spans="1:28">
      <c r="A212" s="151"/>
      <c r="B212" s="146" t="str">
        <f t="shared" si="20"/>
        <v/>
      </c>
      <c r="C212" s="151"/>
      <c r="D212" s="146" t="str">
        <f t="shared" si="21"/>
        <v/>
      </c>
      <c r="E212" s="186"/>
      <c r="F212" s="146" t="str">
        <f t="shared" si="22"/>
        <v/>
      </c>
      <c r="G212" s="185"/>
      <c r="H212" s="185"/>
      <c r="I212" s="185"/>
      <c r="J212" s="201"/>
      <c r="K212" s="200"/>
      <c r="L212" s="200"/>
      <c r="M212" s="201"/>
      <c r="N212" s="201"/>
      <c r="P212" s="141" t="str">
        <f t="shared" si="23"/>
        <v/>
      </c>
      <c r="Q212" s="141" t="str">
        <f t="shared" si="24"/>
        <v/>
      </c>
      <c r="AA212" s="141" t="s">
        <v>1761</v>
      </c>
      <c r="AB212" s="141" t="s">
        <v>1762</v>
      </c>
    </row>
    <row r="213" spans="1:28">
      <c r="A213" s="151"/>
      <c r="B213" s="146" t="str">
        <f t="shared" si="20"/>
        <v/>
      </c>
      <c r="C213" s="151"/>
      <c r="D213" s="146" t="str">
        <f t="shared" si="21"/>
        <v/>
      </c>
      <c r="E213" s="186"/>
      <c r="F213" s="146" t="str">
        <f t="shared" si="22"/>
        <v/>
      </c>
      <c r="G213" s="185"/>
      <c r="H213" s="185"/>
      <c r="I213" s="185"/>
      <c r="J213" s="201"/>
      <c r="K213" s="200"/>
      <c r="L213" s="200"/>
      <c r="M213" s="201"/>
      <c r="N213" s="201"/>
      <c r="P213" s="141" t="str">
        <f t="shared" si="23"/>
        <v/>
      </c>
      <c r="Q213" s="141" t="str">
        <f t="shared" si="24"/>
        <v/>
      </c>
      <c r="AA213" s="141" t="s">
        <v>1763</v>
      </c>
      <c r="AB213" s="141" t="s">
        <v>1764</v>
      </c>
    </row>
    <row r="214" spans="1:28">
      <c r="A214" s="151"/>
      <c r="B214" s="146" t="str">
        <f t="shared" si="20"/>
        <v/>
      </c>
      <c r="C214" s="151"/>
      <c r="D214" s="146" t="str">
        <f t="shared" si="21"/>
        <v/>
      </c>
      <c r="E214" s="186"/>
      <c r="F214" s="146" t="str">
        <f t="shared" si="22"/>
        <v/>
      </c>
      <c r="G214" s="185"/>
      <c r="H214" s="185"/>
      <c r="I214" s="185"/>
      <c r="J214" s="201"/>
      <c r="K214" s="200"/>
      <c r="L214" s="200"/>
      <c r="M214" s="201"/>
      <c r="N214" s="201"/>
      <c r="P214" s="141" t="str">
        <f t="shared" si="23"/>
        <v/>
      </c>
      <c r="Q214" s="141" t="str">
        <f t="shared" si="24"/>
        <v/>
      </c>
      <c r="AA214" s="141" t="s">
        <v>1765</v>
      </c>
      <c r="AB214" s="141" t="s">
        <v>1766</v>
      </c>
    </row>
    <row r="215" spans="1:28">
      <c r="A215" s="151"/>
      <c r="B215" s="146" t="str">
        <f t="shared" si="20"/>
        <v/>
      </c>
      <c r="C215" s="151"/>
      <c r="D215" s="146" t="str">
        <f t="shared" si="21"/>
        <v/>
      </c>
      <c r="E215" s="186"/>
      <c r="F215" s="146" t="str">
        <f t="shared" si="22"/>
        <v/>
      </c>
      <c r="G215" s="185"/>
      <c r="H215" s="185"/>
      <c r="I215" s="185"/>
      <c r="J215" s="201"/>
      <c r="K215" s="200"/>
      <c r="L215" s="200"/>
      <c r="M215" s="201"/>
      <c r="N215" s="201"/>
      <c r="P215" s="141" t="str">
        <f t="shared" si="23"/>
        <v/>
      </c>
      <c r="Q215" s="141" t="str">
        <f t="shared" si="24"/>
        <v/>
      </c>
      <c r="AA215" s="141" t="s">
        <v>1767</v>
      </c>
      <c r="AB215" s="141" t="s">
        <v>1768</v>
      </c>
    </row>
    <row r="216" spans="1:28">
      <c r="A216" s="151"/>
      <c r="B216" s="146" t="str">
        <f t="shared" si="20"/>
        <v/>
      </c>
      <c r="C216" s="151"/>
      <c r="D216" s="146" t="str">
        <f t="shared" si="21"/>
        <v/>
      </c>
      <c r="E216" s="186"/>
      <c r="F216" s="146" t="str">
        <f t="shared" si="22"/>
        <v/>
      </c>
      <c r="G216" s="185"/>
      <c r="H216" s="185"/>
      <c r="I216" s="185"/>
      <c r="J216" s="201"/>
      <c r="K216" s="200"/>
      <c r="L216" s="200"/>
      <c r="M216" s="201"/>
      <c r="N216" s="201"/>
      <c r="P216" s="141" t="str">
        <f t="shared" si="23"/>
        <v/>
      </c>
      <c r="Q216" s="141" t="str">
        <f t="shared" si="24"/>
        <v/>
      </c>
      <c r="AA216" s="141" t="s">
        <v>1769</v>
      </c>
      <c r="AB216" s="141" t="s">
        <v>1770</v>
      </c>
    </row>
    <row r="217" spans="1:28">
      <c r="A217" s="151"/>
      <c r="B217" s="146" t="str">
        <f t="shared" si="20"/>
        <v/>
      </c>
      <c r="C217" s="151"/>
      <c r="D217" s="146" t="str">
        <f t="shared" si="21"/>
        <v/>
      </c>
      <c r="E217" s="186"/>
      <c r="F217" s="146" t="str">
        <f t="shared" si="22"/>
        <v/>
      </c>
      <c r="G217" s="185"/>
      <c r="H217" s="185"/>
      <c r="I217" s="185"/>
      <c r="J217" s="201"/>
      <c r="K217" s="200"/>
      <c r="L217" s="200"/>
      <c r="M217" s="201"/>
      <c r="N217" s="201"/>
      <c r="P217" s="141" t="str">
        <f t="shared" si="23"/>
        <v/>
      </c>
      <c r="Q217" s="141" t="str">
        <f t="shared" si="24"/>
        <v/>
      </c>
      <c r="AA217" s="141" t="s">
        <v>1771</v>
      </c>
      <c r="AB217" s="141" t="s">
        <v>1772</v>
      </c>
    </row>
    <row r="218" spans="1:28">
      <c r="A218" s="151"/>
      <c r="B218" s="146" t="str">
        <f t="shared" si="20"/>
        <v/>
      </c>
      <c r="C218" s="151"/>
      <c r="D218" s="146" t="str">
        <f t="shared" si="21"/>
        <v/>
      </c>
      <c r="E218" s="186"/>
      <c r="F218" s="146" t="str">
        <f t="shared" si="22"/>
        <v/>
      </c>
      <c r="G218" s="185"/>
      <c r="H218" s="185"/>
      <c r="I218" s="185"/>
      <c r="J218" s="201"/>
      <c r="K218" s="200"/>
      <c r="L218" s="200"/>
      <c r="M218" s="201"/>
      <c r="N218" s="201"/>
      <c r="P218" s="141" t="str">
        <f t="shared" si="23"/>
        <v/>
      </c>
      <c r="Q218" s="141" t="str">
        <f t="shared" si="24"/>
        <v/>
      </c>
      <c r="AA218" s="141" t="s">
        <v>1773</v>
      </c>
      <c r="AB218" s="141" t="s">
        <v>1774</v>
      </c>
    </row>
    <row r="219" spans="1:28">
      <c r="A219" s="151"/>
      <c r="B219" s="146" t="str">
        <f t="shared" si="20"/>
        <v/>
      </c>
      <c r="C219" s="151"/>
      <c r="D219" s="146" t="str">
        <f t="shared" si="21"/>
        <v/>
      </c>
      <c r="E219" s="186"/>
      <c r="F219" s="146" t="str">
        <f t="shared" si="22"/>
        <v/>
      </c>
      <c r="G219" s="185"/>
      <c r="H219" s="185"/>
      <c r="I219" s="185"/>
      <c r="J219" s="201"/>
      <c r="K219" s="200"/>
      <c r="L219" s="200"/>
      <c r="M219" s="201"/>
      <c r="N219" s="201"/>
      <c r="P219" s="141" t="str">
        <f t="shared" si="23"/>
        <v/>
      </c>
      <c r="Q219" s="141" t="str">
        <f t="shared" si="24"/>
        <v/>
      </c>
      <c r="AA219" s="141" t="s">
        <v>1775</v>
      </c>
      <c r="AB219" s="141" t="s">
        <v>1776</v>
      </c>
    </row>
    <row r="220" spans="1:28">
      <c r="A220" s="151"/>
      <c r="B220" s="146" t="str">
        <f t="shared" si="20"/>
        <v/>
      </c>
      <c r="C220" s="151"/>
      <c r="D220" s="146" t="str">
        <f t="shared" si="21"/>
        <v/>
      </c>
      <c r="E220" s="186"/>
      <c r="F220" s="146" t="str">
        <f t="shared" si="22"/>
        <v/>
      </c>
      <c r="G220" s="185"/>
      <c r="H220" s="185"/>
      <c r="I220" s="185"/>
      <c r="J220" s="201"/>
      <c r="K220" s="200"/>
      <c r="L220" s="200"/>
      <c r="M220" s="201"/>
      <c r="N220" s="201"/>
      <c r="P220" s="141" t="str">
        <f t="shared" si="23"/>
        <v/>
      </c>
      <c r="Q220" s="141" t="str">
        <f t="shared" si="24"/>
        <v/>
      </c>
      <c r="AA220" s="141" t="s">
        <v>1777</v>
      </c>
      <c r="AB220" s="141" t="s">
        <v>1778</v>
      </c>
    </row>
    <row r="221" spans="1:28">
      <c r="A221" s="151"/>
      <c r="B221" s="146" t="str">
        <f t="shared" si="20"/>
        <v/>
      </c>
      <c r="C221" s="151"/>
      <c r="D221" s="146" t="str">
        <f t="shared" si="21"/>
        <v/>
      </c>
      <c r="E221" s="186"/>
      <c r="F221" s="146" t="str">
        <f t="shared" si="22"/>
        <v/>
      </c>
      <c r="G221" s="185"/>
      <c r="H221" s="185"/>
      <c r="I221" s="185"/>
      <c r="J221" s="201"/>
      <c r="K221" s="200"/>
      <c r="L221" s="200"/>
      <c r="M221" s="201"/>
      <c r="N221" s="201"/>
      <c r="P221" s="141" t="str">
        <f t="shared" si="23"/>
        <v/>
      </c>
      <c r="Q221" s="141" t="str">
        <f t="shared" si="24"/>
        <v/>
      </c>
      <c r="AA221" s="141" t="s">
        <v>992</v>
      </c>
      <c r="AB221" s="141" t="s">
        <v>993</v>
      </c>
    </row>
    <row r="222" spans="1:28">
      <c r="A222" s="151"/>
      <c r="B222" s="146" t="str">
        <f t="shared" si="20"/>
        <v/>
      </c>
      <c r="C222" s="151"/>
      <c r="D222" s="146" t="str">
        <f t="shared" si="21"/>
        <v/>
      </c>
      <c r="E222" s="186"/>
      <c r="F222" s="146" t="str">
        <f t="shared" si="22"/>
        <v/>
      </c>
      <c r="G222" s="185"/>
      <c r="H222" s="185"/>
      <c r="I222" s="185"/>
      <c r="J222" s="201"/>
      <c r="K222" s="200"/>
      <c r="L222" s="200"/>
      <c r="M222" s="201"/>
      <c r="N222" s="201"/>
      <c r="P222" s="141" t="str">
        <f t="shared" si="23"/>
        <v/>
      </c>
      <c r="Q222" s="141" t="str">
        <f t="shared" si="24"/>
        <v/>
      </c>
      <c r="AA222" s="141" t="s">
        <v>994</v>
      </c>
      <c r="AB222" s="141" t="s">
        <v>995</v>
      </c>
    </row>
    <row r="223" spans="1:28">
      <c r="A223" s="151"/>
      <c r="B223" s="146" t="str">
        <f t="shared" si="20"/>
        <v/>
      </c>
      <c r="C223" s="151"/>
      <c r="D223" s="146" t="str">
        <f t="shared" si="21"/>
        <v/>
      </c>
      <c r="E223" s="186"/>
      <c r="F223" s="146" t="str">
        <f t="shared" si="22"/>
        <v/>
      </c>
      <c r="G223" s="185"/>
      <c r="H223" s="185"/>
      <c r="I223" s="185"/>
      <c r="J223" s="201"/>
      <c r="K223" s="200"/>
      <c r="L223" s="200"/>
      <c r="M223" s="201"/>
      <c r="N223" s="201"/>
      <c r="P223" s="141" t="str">
        <f t="shared" si="23"/>
        <v/>
      </c>
      <c r="Q223" s="141" t="str">
        <f t="shared" si="24"/>
        <v/>
      </c>
      <c r="AA223" s="141" t="s">
        <v>996</v>
      </c>
      <c r="AB223" s="141" t="s">
        <v>997</v>
      </c>
    </row>
    <row r="224" spans="1:28">
      <c r="A224" s="151"/>
      <c r="B224" s="146" t="str">
        <f t="shared" si="20"/>
        <v/>
      </c>
      <c r="C224" s="151"/>
      <c r="D224" s="146" t="str">
        <f t="shared" si="21"/>
        <v/>
      </c>
      <c r="E224" s="186"/>
      <c r="F224" s="146" t="str">
        <f t="shared" si="22"/>
        <v/>
      </c>
      <c r="G224" s="185"/>
      <c r="H224" s="185"/>
      <c r="I224" s="185"/>
      <c r="J224" s="201"/>
      <c r="K224" s="200"/>
      <c r="L224" s="200"/>
      <c r="M224" s="201"/>
      <c r="N224" s="201"/>
      <c r="P224" s="141" t="str">
        <f t="shared" si="23"/>
        <v/>
      </c>
      <c r="Q224" s="141" t="str">
        <f t="shared" si="24"/>
        <v/>
      </c>
      <c r="AA224" s="141" t="s">
        <v>998</v>
      </c>
      <c r="AB224" s="141" t="s">
        <v>999</v>
      </c>
    </row>
    <row r="225" spans="1:28">
      <c r="A225" s="151"/>
      <c r="B225" s="146" t="str">
        <f t="shared" si="20"/>
        <v/>
      </c>
      <c r="C225" s="151"/>
      <c r="D225" s="146" t="str">
        <f t="shared" si="21"/>
        <v/>
      </c>
      <c r="E225" s="186"/>
      <c r="F225" s="146" t="str">
        <f t="shared" si="22"/>
        <v/>
      </c>
      <c r="G225" s="185"/>
      <c r="H225" s="185"/>
      <c r="I225" s="185"/>
      <c r="J225" s="201"/>
      <c r="K225" s="200"/>
      <c r="L225" s="200"/>
      <c r="M225" s="201"/>
      <c r="N225" s="201"/>
      <c r="P225" s="141" t="str">
        <f t="shared" si="23"/>
        <v/>
      </c>
      <c r="Q225" s="141" t="str">
        <f t="shared" si="24"/>
        <v/>
      </c>
      <c r="AA225" s="141" t="s">
        <v>1000</v>
      </c>
      <c r="AB225" s="141" t="s">
        <v>1001</v>
      </c>
    </row>
    <row r="226" spans="1:28">
      <c r="A226" s="151"/>
      <c r="B226" s="146" t="str">
        <f t="shared" si="20"/>
        <v/>
      </c>
      <c r="C226" s="151"/>
      <c r="D226" s="146" t="str">
        <f t="shared" si="21"/>
        <v/>
      </c>
      <c r="E226" s="186"/>
      <c r="F226" s="146" t="str">
        <f t="shared" si="22"/>
        <v/>
      </c>
      <c r="G226" s="185"/>
      <c r="H226" s="185"/>
      <c r="I226" s="185"/>
      <c r="J226" s="201"/>
      <c r="K226" s="200"/>
      <c r="L226" s="200"/>
      <c r="M226" s="201"/>
      <c r="N226" s="201"/>
      <c r="P226" s="141" t="str">
        <f t="shared" si="23"/>
        <v/>
      </c>
      <c r="Q226" s="141" t="str">
        <f t="shared" si="24"/>
        <v/>
      </c>
      <c r="AA226" s="141" t="s">
        <v>1002</v>
      </c>
      <c r="AB226" s="141" t="s">
        <v>1003</v>
      </c>
    </row>
    <row r="227" spans="1:28">
      <c r="A227" s="151"/>
      <c r="B227" s="146" t="str">
        <f t="shared" si="20"/>
        <v/>
      </c>
      <c r="C227" s="151"/>
      <c r="D227" s="146" t="str">
        <f t="shared" si="21"/>
        <v/>
      </c>
      <c r="E227" s="186"/>
      <c r="F227" s="146" t="str">
        <f t="shared" si="22"/>
        <v/>
      </c>
      <c r="G227" s="185"/>
      <c r="H227" s="185"/>
      <c r="I227" s="185"/>
      <c r="J227" s="201"/>
      <c r="K227" s="200"/>
      <c r="L227" s="200"/>
      <c r="M227" s="201"/>
      <c r="N227" s="201"/>
      <c r="P227" s="141" t="str">
        <f t="shared" si="23"/>
        <v/>
      </c>
      <c r="Q227" s="141" t="str">
        <f t="shared" si="24"/>
        <v/>
      </c>
      <c r="AA227" s="141" t="s">
        <v>1004</v>
      </c>
      <c r="AB227" s="141" t="s">
        <v>1005</v>
      </c>
    </row>
    <row r="228" spans="1:28">
      <c r="A228" s="151"/>
      <c r="B228" s="146" t="str">
        <f t="shared" si="20"/>
        <v/>
      </c>
      <c r="C228" s="151"/>
      <c r="D228" s="146" t="str">
        <f t="shared" si="21"/>
        <v/>
      </c>
      <c r="E228" s="186"/>
      <c r="F228" s="146" t="str">
        <f t="shared" si="22"/>
        <v/>
      </c>
      <c r="G228" s="185"/>
      <c r="H228" s="185"/>
      <c r="I228" s="185"/>
      <c r="J228" s="201"/>
      <c r="K228" s="200"/>
      <c r="L228" s="200"/>
      <c r="M228" s="201"/>
      <c r="N228" s="201"/>
      <c r="P228" s="141" t="str">
        <f t="shared" si="23"/>
        <v/>
      </c>
      <c r="Q228" s="141" t="str">
        <f t="shared" si="24"/>
        <v/>
      </c>
      <c r="AA228" s="141" t="s">
        <v>1006</v>
      </c>
      <c r="AB228" s="141" t="s">
        <v>1007</v>
      </c>
    </row>
    <row r="229" spans="1:28">
      <c r="A229" s="151"/>
      <c r="B229" s="146" t="str">
        <f t="shared" si="20"/>
        <v/>
      </c>
      <c r="C229" s="151"/>
      <c r="D229" s="146" t="str">
        <f t="shared" si="21"/>
        <v/>
      </c>
      <c r="E229" s="186"/>
      <c r="F229" s="146" t="str">
        <f t="shared" si="22"/>
        <v/>
      </c>
      <c r="G229" s="185"/>
      <c r="H229" s="185"/>
      <c r="I229" s="185"/>
      <c r="J229" s="201"/>
      <c r="K229" s="200"/>
      <c r="L229" s="200"/>
      <c r="M229" s="201"/>
      <c r="N229" s="201"/>
      <c r="P229" s="141" t="str">
        <f t="shared" si="23"/>
        <v/>
      </c>
      <c r="Q229" s="141" t="str">
        <f t="shared" si="24"/>
        <v/>
      </c>
      <c r="AA229" s="141" t="s">
        <v>1008</v>
      </c>
      <c r="AB229" s="141" t="s">
        <v>1009</v>
      </c>
    </row>
    <row r="230" spans="1:28">
      <c r="A230" s="151"/>
      <c r="B230" s="146" t="str">
        <f t="shared" si="20"/>
        <v/>
      </c>
      <c r="C230" s="151"/>
      <c r="D230" s="146" t="str">
        <f t="shared" si="21"/>
        <v/>
      </c>
      <c r="E230" s="186"/>
      <c r="F230" s="146" t="str">
        <f t="shared" si="22"/>
        <v/>
      </c>
      <c r="G230" s="185"/>
      <c r="H230" s="185"/>
      <c r="I230" s="185"/>
      <c r="J230" s="201"/>
      <c r="K230" s="200"/>
      <c r="L230" s="200"/>
      <c r="M230" s="201"/>
      <c r="N230" s="201"/>
      <c r="P230" s="141" t="str">
        <f t="shared" si="23"/>
        <v/>
      </c>
      <c r="Q230" s="141" t="str">
        <f t="shared" si="24"/>
        <v/>
      </c>
      <c r="AA230" s="141" t="s">
        <v>1010</v>
      </c>
      <c r="AB230" s="141" t="s">
        <v>1011</v>
      </c>
    </row>
    <row r="231" spans="1:28">
      <c r="A231" s="151"/>
      <c r="B231" s="146" t="str">
        <f t="shared" si="20"/>
        <v/>
      </c>
      <c r="C231" s="151"/>
      <c r="D231" s="146" t="str">
        <f t="shared" si="21"/>
        <v/>
      </c>
      <c r="E231" s="186"/>
      <c r="F231" s="146" t="str">
        <f t="shared" si="22"/>
        <v/>
      </c>
      <c r="G231" s="185"/>
      <c r="H231" s="185"/>
      <c r="I231" s="185"/>
      <c r="J231" s="201"/>
      <c r="K231" s="200"/>
      <c r="L231" s="200"/>
      <c r="M231" s="201"/>
      <c r="N231" s="201"/>
      <c r="P231" s="141" t="str">
        <f t="shared" si="23"/>
        <v/>
      </c>
      <c r="Q231" s="141" t="str">
        <f t="shared" si="24"/>
        <v/>
      </c>
      <c r="AA231" s="141" t="s">
        <v>1012</v>
      </c>
      <c r="AB231" s="141" t="s">
        <v>1013</v>
      </c>
    </row>
    <row r="232" spans="1:28">
      <c r="A232" s="151"/>
      <c r="B232" s="146" t="str">
        <f t="shared" si="20"/>
        <v/>
      </c>
      <c r="C232" s="151"/>
      <c r="D232" s="146" t="str">
        <f t="shared" si="21"/>
        <v/>
      </c>
      <c r="E232" s="186"/>
      <c r="F232" s="146" t="str">
        <f t="shared" si="22"/>
        <v/>
      </c>
      <c r="G232" s="185"/>
      <c r="H232" s="185"/>
      <c r="I232" s="185"/>
      <c r="J232" s="201"/>
      <c r="K232" s="200"/>
      <c r="L232" s="200"/>
      <c r="M232" s="201"/>
      <c r="N232" s="201"/>
      <c r="P232" s="141" t="str">
        <f t="shared" si="23"/>
        <v/>
      </c>
      <c r="Q232" s="141" t="str">
        <f t="shared" si="24"/>
        <v/>
      </c>
      <c r="AA232" s="141" t="s">
        <v>1014</v>
      </c>
      <c r="AB232" s="141" t="s">
        <v>1015</v>
      </c>
    </row>
    <row r="233" spans="1:28">
      <c r="A233" s="151"/>
      <c r="B233" s="146" t="str">
        <f t="shared" si="20"/>
        <v/>
      </c>
      <c r="C233" s="151"/>
      <c r="D233" s="146" t="str">
        <f t="shared" si="21"/>
        <v/>
      </c>
      <c r="E233" s="186"/>
      <c r="F233" s="146" t="str">
        <f t="shared" si="22"/>
        <v/>
      </c>
      <c r="G233" s="185"/>
      <c r="H233" s="185"/>
      <c r="I233" s="185"/>
      <c r="J233" s="201"/>
      <c r="K233" s="200"/>
      <c r="L233" s="200"/>
      <c r="M233" s="201"/>
      <c r="N233" s="201"/>
      <c r="P233" s="141" t="str">
        <f t="shared" si="23"/>
        <v/>
      </c>
      <c r="Q233" s="141" t="str">
        <f t="shared" si="24"/>
        <v/>
      </c>
      <c r="AA233" s="141" t="s">
        <v>1016</v>
      </c>
      <c r="AB233" s="141" t="s">
        <v>1017</v>
      </c>
    </row>
    <row r="234" spans="1:28">
      <c r="A234" s="151"/>
      <c r="B234" s="146" t="str">
        <f t="shared" si="20"/>
        <v/>
      </c>
      <c r="C234" s="151"/>
      <c r="D234" s="146" t="str">
        <f t="shared" si="21"/>
        <v/>
      </c>
      <c r="E234" s="186"/>
      <c r="F234" s="146" t="str">
        <f t="shared" si="22"/>
        <v/>
      </c>
      <c r="G234" s="185"/>
      <c r="H234" s="185"/>
      <c r="I234" s="185"/>
      <c r="J234" s="201"/>
      <c r="K234" s="200"/>
      <c r="L234" s="200"/>
      <c r="M234" s="201"/>
      <c r="N234" s="201"/>
      <c r="P234" s="141" t="str">
        <f t="shared" si="23"/>
        <v/>
      </c>
      <c r="Q234" s="141" t="str">
        <f t="shared" si="24"/>
        <v/>
      </c>
      <c r="AA234" s="141" t="s">
        <v>1018</v>
      </c>
      <c r="AB234" s="141" t="s">
        <v>1019</v>
      </c>
    </row>
    <row r="235" spans="1:28">
      <c r="A235" s="151"/>
      <c r="B235" s="146" t="str">
        <f t="shared" si="20"/>
        <v/>
      </c>
      <c r="C235" s="151"/>
      <c r="D235" s="146" t="str">
        <f t="shared" si="21"/>
        <v/>
      </c>
      <c r="E235" s="186"/>
      <c r="F235" s="146" t="str">
        <f t="shared" si="22"/>
        <v/>
      </c>
      <c r="G235" s="185"/>
      <c r="H235" s="185"/>
      <c r="I235" s="185"/>
      <c r="J235" s="201"/>
      <c r="K235" s="200"/>
      <c r="L235" s="200"/>
      <c r="M235" s="201"/>
      <c r="N235" s="201"/>
      <c r="P235" s="141" t="str">
        <f t="shared" si="23"/>
        <v/>
      </c>
      <c r="Q235" s="141" t="str">
        <f t="shared" si="24"/>
        <v/>
      </c>
      <c r="AA235" s="141" t="s">
        <v>1020</v>
      </c>
      <c r="AB235" s="141" t="s">
        <v>1021</v>
      </c>
    </row>
    <row r="236" spans="1:28">
      <c r="A236" s="151"/>
      <c r="B236" s="146" t="str">
        <f t="shared" si="20"/>
        <v/>
      </c>
      <c r="C236" s="151"/>
      <c r="D236" s="146" t="str">
        <f t="shared" si="21"/>
        <v/>
      </c>
      <c r="E236" s="186"/>
      <c r="F236" s="146" t="str">
        <f t="shared" si="22"/>
        <v/>
      </c>
      <c r="G236" s="185"/>
      <c r="H236" s="185"/>
      <c r="I236" s="185"/>
      <c r="J236" s="201"/>
      <c r="K236" s="200"/>
      <c r="L236" s="200"/>
      <c r="M236" s="201"/>
      <c r="N236" s="201"/>
      <c r="P236" s="141" t="str">
        <f t="shared" si="23"/>
        <v/>
      </c>
      <c r="Q236" s="141" t="str">
        <f t="shared" si="24"/>
        <v/>
      </c>
      <c r="AA236" s="141" t="s">
        <v>1022</v>
      </c>
      <c r="AB236" s="141" t="s">
        <v>1023</v>
      </c>
    </row>
    <row r="237" spans="1:28">
      <c r="A237" s="151"/>
      <c r="B237" s="146" t="str">
        <f t="shared" si="20"/>
        <v/>
      </c>
      <c r="C237" s="151"/>
      <c r="D237" s="146" t="str">
        <f t="shared" si="21"/>
        <v/>
      </c>
      <c r="E237" s="186"/>
      <c r="F237" s="146" t="str">
        <f t="shared" si="22"/>
        <v/>
      </c>
      <c r="G237" s="185"/>
      <c r="H237" s="185"/>
      <c r="I237" s="185"/>
      <c r="J237" s="201"/>
      <c r="K237" s="200"/>
      <c r="L237" s="200"/>
      <c r="M237" s="201"/>
      <c r="N237" s="201"/>
      <c r="P237" s="141" t="str">
        <f t="shared" si="23"/>
        <v/>
      </c>
      <c r="Q237" s="141" t="str">
        <f t="shared" si="24"/>
        <v/>
      </c>
      <c r="AA237" s="141" t="s">
        <v>1024</v>
      </c>
      <c r="AB237" s="141" t="s">
        <v>1025</v>
      </c>
    </row>
    <row r="238" spans="1:28">
      <c r="A238" s="151"/>
      <c r="B238" s="146" t="str">
        <f t="shared" si="20"/>
        <v/>
      </c>
      <c r="C238" s="151"/>
      <c r="D238" s="146" t="str">
        <f t="shared" si="21"/>
        <v/>
      </c>
      <c r="E238" s="186"/>
      <c r="F238" s="146" t="str">
        <f t="shared" si="22"/>
        <v/>
      </c>
      <c r="G238" s="185"/>
      <c r="H238" s="185"/>
      <c r="I238" s="185"/>
      <c r="J238" s="201"/>
      <c r="K238" s="200"/>
      <c r="L238" s="200"/>
      <c r="M238" s="201"/>
      <c r="N238" s="201"/>
      <c r="P238" s="141" t="str">
        <f t="shared" si="23"/>
        <v/>
      </c>
      <c r="Q238" s="141" t="str">
        <f t="shared" si="24"/>
        <v/>
      </c>
      <c r="AA238" s="141" t="s">
        <v>1026</v>
      </c>
      <c r="AB238" s="141" t="s">
        <v>1027</v>
      </c>
    </row>
    <row r="239" spans="1:28">
      <c r="A239" s="151"/>
      <c r="B239" s="146" t="str">
        <f t="shared" si="20"/>
        <v/>
      </c>
      <c r="C239" s="151"/>
      <c r="D239" s="146" t="str">
        <f t="shared" si="21"/>
        <v/>
      </c>
      <c r="E239" s="186"/>
      <c r="F239" s="146" t="str">
        <f t="shared" si="22"/>
        <v/>
      </c>
      <c r="G239" s="185"/>
      <c r="H239" s="185"/>
      <c r="I239" s="185"/>
      <c r="J239" s="201"/>
      <c r="K239" s="200"/>
      <c r="L239" s="200"/>
      <c r="M239" s="201"/>
      <c r="N239" s="201"/>
      <c r="P239" s="141" t="str">
        <f t="shared" si="23"/>
        <v/>
      </c>
      <c r="Q239" s="141" t="str">
        <f t="shared" si="24"/>
        <v/>
      </c>
      <c r="AA239" s="141" t="s">
        <v>1028</v>
      </c>
      <c r="AB239" s="141" t="s">
        <v>1029</v>
      </c>
    </row>
    <row r="240" spans="1:28">
      <c r="A240" s="151"/>
      <c r="B240" s="146" t="str">
        <f t="shared" si="20"/>
        <v/>
      </c>
      <c r="C240" s="151"/>
      <c r="D240" s="146" t="str">
        <f t="shared" si="21"/>
        <v/>
      </c>
      <c r="E240" s="186"/>
      <c r="F240" s="146" t="str">
        <f t="shared" si="22"/>
        <v/>
      </c>
      <c r="G240" s="185"/>
      <c r="H240" s="185"/>
      <c r="I240" s="185"/>
      <c r="J240" s="201"/>
      <c r="K240" s="200"/>
      <c r="L240" s="200"/>
      <c r="M240" s="201"/>
      <c r="N240" s="201"/>
      <c r="P240" s="141" t="str">
        <f t="shared" si="23"/>
        <v/>
      </c>
      <c r="Q240" s="141" t="str">
        <f t="shared" si="24"/>
        <v/>
      </c>
      <c r="AA240" s="141" t="s">
        <v>1030</v>
      </c>
      <c r="AB240" s="141" t="s">
        <v>1031</v>
      </c>
    </row>
    <row r="241" spans="1:28">
      <c r="A241" s="151"/>
      <c r="B241" s="146" t="str">
        <f t="shared" si="20"/>
        <v/>
      </c>
      <c r="C241" s="151"/>
      <c r="D241" s="146" t="str">
        <f t="shared" si="21"/>
        <v/>
      </c>
      <c r="E241" s="186"/>
      <c r="F241" s="146" t="str">
        <f t="shared" si="22"/>
        <v/>
      </c>
      <c r="G241" s="185"/>
      <c r="H241" s="185"/>
      <c r="I241" s="185"/>
      <c r="J241" s="201"/>
      <c r="K241" s="200"/>
      <c r="L241" s="200"/>
      <c r="M241" s="201"/>
      <c r="N241" s="201"/>
      <c r="P241" s="141" t="str">
        <f t="shared" si="23"/>
        <v/>
      </c>
      <c r="Q241" s="141" t="str">
        <f t="shared" si="24"/>
        <v/>
      </c>
      <c r="AA241" s="141" t="s">
        <v>1032</v>
      </c>
      <c r="AB241" s="141" t="s">
        <v>1033</v>
      </c>
    </row>
    <row r="242" spans="1:28">
      <c r="A242" s="151"/>
      <c r="B242" s="146" t="str">
        <f t="shared" si="20"/>
        <v/>
      </c>
      <c r="C242" s="151"/>
      <c r="D242" s="146" t="str">
        <f t="shared" si="21"/>
        <v/>
      </c>
      <c r="E242" s="186"/>
      <c r="F242" s="146" t="str">
        <f t="shared" si="22"/>
        <v/>
      </c>
      <c r="G242" s="185"/>
      <c r="H242" s="185"/>
      <c r="I242" s="185"/>
      <c r="J242" s="201"/>
      <c r="K242" s="200"/>
      <c r="L242" s="200"/>
      <c r="M242" s="201"/>
      <c r="N242" s="201"/>
      <c r="P242" s="141" t="str">
        <f t="shared" si="23"/>
        <v/>
      </c>
      <c r="Q242" s="141" t="str">
        <f t="shared" si="24"/>
        <v/>
      </c>
      <c r="AA242" s="141" t="s">
        <v>1034</v>
      </c>
      <c r="AB242" s="141" t="s">
        <v>1035</v>
      </c>
    </row>
    <row r="243" spans="1:28">
      <c r="A243" s="151"/>
      <c r="B243" s="146" t="str">
        <f t="shared" si="20"/>
        <v/>
      </c>
      <c r="C243" s="151"/>
      <c r="D243" s="146" t="str">
        <f t="shared" si="21"/>
        <v/>
      </c>
      <c r="E243" s="186"/>
      <c r="F243" s="146" t="str">
        <f t="shared" si="22"/>
        <v/>
      </c>
      <c r="G243" s="185"/>
      <c r="H243" s="185"/>
      <c r="I243" s="185"/>
      <c r="J243" s="201"/>
      <c r="K243" s="200"/>
      <c r="L243" s="200"/>
      <c r="M243" s="201"/>
      <c r="N243" s="201"/>
      <c r="P243" s="141" t="str">
        <f t="shared" si="23"/>
        <v/>
      </c>
      <c r="Q243" s="141" t="str">
        <f t="shared" si="24"/>
        <v/>
      </c>
      <c r="AA243" s="141" t="s">
        <v>1036</v>
      </c>
      <c r="AB243" s="141" t="s">
        <v>1037</v>
      </c>
    </row>
    <row r="244" spans="1:28">
      <c r="A244" s="151"/>
      <c r="B244" s="146" t="str">
        <f t="shared" si="20"/>
        <v/>
      </c>
      <c r="C244" s="151"/>
      <c r="D244" s="146" t="str">
        <f t="shared" si="21"/>
        <v/>
      </c>
      <c r="E244" s="186"/>
      <c r="F244" s="146" t="str">
        <f t="shared" si="22"/>
        <v/>
      </c>
      <c r="G244" s="185"/>
      <c r="H244" s="185"/>
      <c r="I244" s="185"/>
      <c r="J244" s="201"/>
      <c r="K244" s="200"/>
      <c r="L244" s="200"/>
      <c r="M244" s="201"/>
      <c r="N244" s="201"/>
      <c r="P244" s="141" t="str">
        <f t="shared" si="23"/>
        <v/>
      </c>
      <c r="Q244" s="141" t="str">
        <f t="shared" si="24"/>
        <v/>
      </c>
      <c r="AA244" s="141" t="s">
        <v>1038</v>
      </c>
      <c r="AB244" s="141" t="s">
        <v>1039</v>
      </c>
    </row>
    <row r="245" spans="1:28">
      <c r="A245" s="151"/>
      <c r="B245" s="146" t="str">
        <f t="shared" si="20"/>
        <v/>
      </c>
      <c r="C245" s="151"/>
      <c r="D245" s="146" t="str">
        <f t="shared" si="21"/>
        <v/>
      </c>
      <c r="E245" s="186"/>
      <c r="F245" s="146" t="str">
        <f t="shared" si="22"/>
        <v/>
      </c>
      <c r="G245" s="185"/>
      <c r="H245" s="185"/>
      <c r="I245" s="185"/>
      <c r="J245" s="201"/>
      <c r="K245" s="200"/>
      <c r="L245" s="200"/>
      <c r="M245" s="201"/>
      <c r="N245" s="201"/>
      <c r="P245" s="141" t="str">
        <f t="shared" si="23"/>
        <v/>
      </c>
      <c r="Q245" s="141" t="str">
        <f t="shared" si="24"/>
        <v/>
      </c>
      <c r="AA245" s="141" t="s">
        <v>1040</v>
      </c>
      <c r="AB245" s="141" t="s">
        <v>1041</v>
      </c>
    </row>
    <row r="246" spans="1:28">
      <c r="A246" s="151"/>
      <c r="B246" s="146" t="str">
        <f t="shared" si="20"/>
        <v/>
      </c>
      <c r="C246" s="151"/>
      <c r="D246" s="146" t="str">
        <f t="shared" si="21"/>
        <v/>
      </c>
      <c r="E246" s="186"/>
      <c r="F246" s="146" t="str">
        <f t="shared" si="22"/>
        <v/>
      </c>
      <c r="G246" s="185"/>
      <c r="H246" s="185"/>
      <c r="I246" s="185"/>
      <c r="J246" s="201"/>
      <c r="K246" s="200"/>
      <c r="L246" s="200"/>
      <c r="M246" s="201"/>
      <c r="N246" s="201"/>
      <c r="P246" s="141" t="str">
        <f t="shared" si="23"/>
        <v/>
      </c>
      <c r="Q246" s="141" t="str">
        <f t="shared" si="24"/>
        <v/>
      </c>
      <c r="AA246" s="141" t="s">
        <v>1042</v>
      </c>
      <c r="AB246" s="141" t="s">
        <v>1043</v>
      </c>
    </row>
    <row r="247" spans="1:28">
      <c r="A247" s="151"/>
      <c r="B247" s="146" t="str">
        <f t="shared" si="20"/>
        <v/>
      </c>
      <c r="C247" s="151"/>
      <c r="D247" s="146" t="str">
        <f t="shared" si="21"/>
        <v/>
      </c>
      <c r="E247" s="186"/>
      <c r="F247" s="146" t="str">
        <f t="shared" si="22"/>
        <v/>
      </c>
      <c r="G247" s="185"/>
      <c r="H247" s="185"/>
      <c r="I247" s="185"/>
      <c r="J247" s="201"/>
      <c r="K247" s="200"/>
      <c r="L247" s="200"/>
      <c r="M247" s="201"/>
      <c r="N247" s="201"/>
      <c r="P247" s="141" t="str">
        <f t="shared" si="23"/>
        <v/>
      </c>
      <c r="Q247" s="141" t="str">
        <f t="shared" si="24"/>
        <v/>
      </c>
      <c r="AA247" s="141" t="s">
        <v>1044</v>
      </c>
      <c r="AB247" s="141" t="s">
        <v>1045</v>
      </c>
    </row>
    <row r="248" spans="1:28">
      <c r="A248" s="151"/>
      <c r="B248" s="146" t="str">
        <f t="shared" si="20"/>
        <v/>
      </c>
      <c r="C248" s="151"/>
      <c r="D248" s="146" t="str">
        <f t="shared" si="21"/>
        <v/>
      </c>
      <c r="E248" s="186"/>
      <c r="F248" s="146" t="str">
        <f t="shared" si="22"/>
        <v/>
      </c>
      <c r="G248" s="185"/>
      <c r="H248" s="185"/>
      <c r="I248" s="185"/>
      <c r="J248" s="201"/>
      <c r="K248" s="200"/>
      <c r="L248" s="200"/>
      <c r="M248" s="201"/>
      <c r="N248" s="201"/>
      <c r="P248" s="141" t="str">
        <f t="shared" si="23"/>
        <v/>
      </c>
      <c r="Q248" s="141" t="str">
        <f t="shared" si="24"/>
        <v/>
      </c>
      <c r="AA248" s="141" t="s">
        <v>1046</v>
      </c>
      <c r="AB248" s="141" t="s">
        <v>1047</v>
      </c>
    </row>
    <row r="249" spans="1:28">
      <c r="A249" s="151"/>
      <c r="B249" s="146" t="str">
        <f t="shared" si="20"/>
        <v/>
      </c>
      <c r="C249" s="151"/>
      <c r="D249" s="146" t="str">
        <f t="shared" si="21"/>
        <v/>
      </c>
      <c r="E249" s="186"/>
      <c r="F249" s="146" t="str">
        <f t="shared" si="22"/>
        <v/>
      </c>
      <c r="G249" s="185"/>
      <c r="H249" s="185"/>
      <c r="I249" s="185"/>
      <c r="J249" s="201"/>
      <c r="K249" s="200"/>
      <c r="L249" s="200"/>
      <c r="M249" s="201"/>
      <c r="N249" s="201"/>
      <c r="P249" s="141" t="str">
        <f t="shared" si="23"/>
        <v/>
      </c>
      <c r="Q249" s="141" t="str">
        <f t="shared" si="24"/>
        <v/>
      </c>
      <c r="AA249" s="141" t="s">
        <v>1048</v>
      </c>
      <c r="AB249" s="141" t="s">
        <v>1049</v>
      </c>
    </row>
    <row r="250" spans="1:28">
      <c r="A250" s="151"/>
      <c r="B250" s="146" t="str">
        <f t="shared" si="20"/>
        <v/>
      </c>
      <c r="C250" s="151"/>
      <c r="D250" s="146" t="str">
        <f t="shared" si="21"/>
        <v/>
      </c>
      <c r="E250" s="186"/>
      <c r="F250" s="146" t="str">
        <f t="shared" si="22"/>
        <v/>
      </c>
      <c r="G250" s="185"/>
      <c r="H250" s="185"/>
      <c r="I250" s="185"/>
      <c r="J250" s="201"/>
      <c r="K250" s="200"/>
      <c r="L250" s="200"/>
      <c r="M250" s="201"/>
      <c r="N250" s="201"/>
      <c r="P250" s="141" t="str">
        <f t="shared" si="23"/>
        <v/>
      </c>
      <c r="Q250" s="141" t="str">
        <f t="shared" si="24"/>
        <v/>
      </c>
      <c r="AA250" s="141" t="s">
        <v>1050</v>
      </c>
      <c r="AB250" s="141" t="s">
        <v>1051</v>
      </c>
    </row>
    <row r="251" spans="1:28">
      <c r="A251" s="151"/>
      <c r="B251" s="146" t="str">
        <f t="shared" si="20"/>
        <v/>
      </c>
      <c r="C251" s="151"/>
      <c r="D251" s="146" t="str">
        <f t="shared" si="21"/>
        <v/>
      </c>
      <c r="E251" s="186"/>
      <c r="F251" s="146" t="str">
        <f t="shared" si="22"/>
        <v/>
      </c>
      <c r="G251" s="185"/>
      <c r="H251" s="185"/>
      <c r="I251" s="185"/>
      <c r="J251" s="201"/>
      <c r="K251" s="200"/>
      <c r="L251" s="200"/>
      <c r="M251" s="201"/>
      <c r="N251" s="201"/>
      <c r="P251" s="141" t="str">
        <f t="shared" si="23"/>
        <v/>
      </c>
      <c r="Q251" s="141" t="str">
        <f t="shared" si="24"/>
        <v/>
      </c>
      <c r="AA251" s="141" t="s">
        <v>1052</v>
      </c>
      <c r="AB251" s="141" t="s">
        <v>1053</v>
      </c>
    </row>
    <row r="252" spans="1:28">
      <c r="A252" s="151"/>
      <c r="B252" s="146" t="str">
        <f t="shared" si="20"/>
        <v/>
      </c>
      <c r="C252" s="151"/>
      <c r="D252" s="146" t="str">
        <f t="shared" si="21"/>
        <v/>
      </c>
      <c r="E252" s="186"/>
      <c r="F252" s="146" t="str">
        <f t="shared" si="22"/>
        <v/>
      </c>
      <c r="G252" s="185"/>
      <c r="H252" s="185"/>
      <c r="I252" s="185"/>
      <c r="J252" s="201"/>
      <c r="K252" s="200"/>
      <c r="L252" s="200"/>
      <c r="M252" s="201"/>
      <c r="N252" s="201"/>
      <c r="P252" s="141" t="str">
        <f t="shared" si="23"/>
        <v/>
      </c>
      <c r="Q252" s="141" t="str">
        <f t="shared" si="24"/>
        <v/>
      </c>
      <c r="AA252" s="141" t="s">
        <v>1054</v>
      </c>
      <c r="AB252" s="141" t="s">
        <v>1055</v>
      </c>
    </row>
    <row r="253" spans="1:28">
      <c r="A253" s="151"/>
      <c r="B253" s="146" t="str">
        <f t="shared" si="20"/>
        <v/>
      </c>
      <c r="C253" s="151"/>
      <c r="D253" s="146" t="str">
        <f t="shared" si="21"/>
        <v/>
      </c>
      <c r="E253" s="186"/>
      <c r="F253" s="146" t="str">
        <f t="shared" si="22"/>
        <v/>
      </c>
      <c r="G253" s="185"/>
      <c r="H253" s="185"/>
      <c r="I253" s="185"/>
      <c r="J253" s="201"/>
      <c r="K253" s="200"/>
      <c r="L253" s="200"/>
      <c r="M253" s="201"/>
      <c r="N253" s="201"/>
      <c r="P253" s="141" t="str">
        <f t="shared" si="23"/>
        <v/>
      </c>
      <c r="Q253" s="141" t="str">
        <f t="shared" si="24"/>
        <v/>
      </c>
      <c r="AA253" s="141" t="s">
        <v>1056</v>
      </c>
      <c r="AB253" s="141" t="s">
        <v>1057</v>
      </c>
    </row>
    <row r="254" spans="1:28">
      <c r="A254" s="151"/>
      <c r="B254" s="146" t="str">
        <f t="shared" si="20"/>
        <v/>
      </c>
      <c r="C254" s="151"/>
      <c r="D254" s="146" t="str">
        <f t="shared" si="21"/>
        <v/>
      </c>
      <c r="E254" s="186"/>
      <c r="F254" s="146" t="str">
        <f t="shared" si="22"/>
        <v/>
      </c>
      <c r="G254" s="185"/>
      <c r="H254" s="185"/>
      <c r="I254" s="185"/>
      <c r="J254" s="201"/>
      <c r="K254" s="200"/>
      <c r="L254" s="200"/>
      <c r="M254" s="201"/>
      <c r="N254" s="201"/>
      <c r="P254" s="141" t="str">
        <f t="shared" si="23"/>
        <v/>
      </c>
      <c r="Q254" s="141" t="str">
        <f t="shared" si="24"/>
        <v/>
      </c>
      <c r="AA254" s="141" t="s">
        <v>1058</v>
      </c>
      <c r="AB254" s="141" t="s">
        <v>1059</v>
      </c>
    </row>
    <row r="255" spans="1:28">
      <c r="A255" s="151"/>
      <c r="B255" s="146" t="str">
        <f t="shared" si="20"/>
        <v/>
      </c>
      <c r="C255" s="151"/>
      <c r="D255" s="146" t="str">
        <f t="shared" si="21"/>
        <v/>
      </c>
      <c r="E255" s="186"/>
      <c r="F255" s="146" t="str">
        <f t="shared" si="22"/>
        <v/>
      </c>
      <c r="G255" s="185"/>
      <c r="H255" s="185"/>
      <c r="I255" s="185"/>
      <c r="J255" s="201"/>
      <c r="K255" s="200"/>
      <c r="L255" s="200"/>
      <c r="M255" s="201"/>
      <c r="N255" s="201"/>
      <c r="P255" s="141" t="str">
        <f t="shared" si="23"/>
        <v/>
      </c>
      <c r="Q255" s="141" t="str">
        <f t="shared" si="24"/>
        <v/>
      </c>
      <c r="AA255" s="141" t="s">
        <v>1060</v>
      </c>
      <c r="AB255" s="141" t="s">
        <v>1061</v>
      </c>
    </row>
    <row r="256" spans="1:28">
      <c r="A256" s="151"/>
      <c r="B256" s="146" t="str">
        <f t="shared" si="20"/>
        <v/>
      </c>
      <c r="C256" s="151"/>
      <c r="D256" s="146" t="str">
        <f t="shared" si="21"/>
        <v/>
      </c>
      <c r="E256" s="186"/>
      <c r="F256" s="146" t="str">
        <f t="shared" si="22"/>
        <v/>
      </c>
      <c r="G256" s="185"/>
      <c r="H256" s="185"/>
      <c r="I256" s="185"/>
      <c r="J256" s="201"/>
      <c r="K256" s="200"/>
      <c r="L256" s="200"/>
      <c r="M256" s="201"/>
      <c r="N256" s="201"/>
      <c r="P256" s="141" t="str">
        <f t="shared" si="23"/>
        <v/>
      </c>
      <c r="Q256" s="141" t="str">
        <f t="shared" si="24"/>
        <v/>
      </c>
      <c r="AA256" s="141" t="s">
        <v>1062</v>
      </c>
      <c r="AB256" s="141" t="s">
        <v>1063</v>
      </c>
    </row>
    <row r="257" spans="1:28">
      <c r="A257" s="151"/>
      <c r="B257" s="146" t="str">
        <f t="shared" si="20"/>
        <v/>
      </c>
      <c r="C257" s="151"/>
      <c r="D257" s="146" t="str">
        <f t="shared" si="21"/>
        <v/>
      </c>
      <c r="E257" s="186"/>
      <c r="F257" s="146" t="str">
        <f t="shared" si="22"/>
        <v/>
      </c>
      <c r="G257" s="185"/>
      <c r="H257" s="185"/>
      <c r="I257" s="185"/>
      <c r="J257" s="201"/>
      <c r="K257" s="200"/>
      <c r="L257" s="200"/>
      <c r="M257" s="201"/>
      <c r="N257" s="201"/>
      <c r="P257" s="141" t="str">
        <f t="shared" si="23"/>
        <v/>
      </c>
      <c r="Q257" s="141" t="str">
        <f t="shared" si="24"/>
        <v/>
      </c>
      <c r="AA257" s="141" t="s">
        <v>1064</v>
      </c>
      <c r="AB257" s="141" t="s">
        <v>1065</v>
      </c>
    </row>
    <row r="258" spans="1:28">
      <c r="A258" s="151"/>
      <c r="B258" s="146" t="str">
        <f t="shared" si="20"/>
        <v/>
      </c>
      <c r="C258" s="151"/>
      <c r="D258" s="146" t="str">
        <f t="shared" si="21"/>
        <v/>
      </c>
      <c r="E258" s="186"/>
      <c r="F258" s="146" t="str">
        <f t="shared" si="22"/>
        <v/>
      </c>
      <c r="G258" s="185"/>
      <c r="H258" s="185"/>
      <c r="I258" s="185"/>
      <c r="J258" s="201"/>
      <c r="K258" s="200"/>
      <c r="L258" s="200"/>
      <c r="M258" s="201"/>
      <c r="N258" s="201"/>
      <c r="P258" s="141" t="str">
        <f t="shared" si="23"/>
        <v/>
      </c>
      <c r="Q258" s="141" t="str">
        <f t="shared" si="24"/>
        <v/>
      </c>
      <c r="AA258" s="141" t="s">
        <v>1066</v>
      </c>
      <c r="AB258" s="141" t="s">
        <v>1067</v>
      </c>
    </row>
    <row r="259" spans="1:28">
      <c r="A259" s="151"/>
      <c r="B259" s="146" t="str">
        <f t="shared" si="20"/>
        <v/>
      </c>
      <c r="C259" s="151"/>
      <c r="D259" s="146" t="str">
        <f t="shared" si="21"/>
        <v/>
      </c>
      <c r="E259" s="186"/>
      <c r="F259" s="146" t="str">
        <f t="shared" si="22"/>
        <v/>
      </c>
      <c r="G259" s="185"/>
      <c r="H259" s="185"/>
      <c r="I259" s="185"/>
      <c r="J259" s="201"/>
      <c r="K259" s="200"/>
      <c r="L259" s="200"/>
      <c r="M259" s="201"/>
      <c r="N259" s="201"/>
      <c r="P259" s="141" t="str">
        <f t="shared" si="23"/>
        <v/>
      </c>
      <c r="Q259" s="141" t="str">
        <f t="shared" si="24"/>
        <v/>
      </c>
      <c r="AA259" s="141" t="s">
        <v>1068</v>
      </c>
      <c r="AB259" s="141" t="s">
        <v>1069</v>
      </c>
    </row>
    <row r="260" spans="1:28">
      <c r="A260" s="151"/>
      <c r="B260" s="146" t="str">
        <f t="shared" ref="B260:B323" si="25">IFERROR(VLOOKUP(A260,$R$6:$S$23,2,FALSE),"")</f>
        <v/>
      </c>
      <c r="C260" s="151"/>
      <c r="D260" s="146" t="str">
        <f t="shared" ref="D260:D323" si="26">IFERROR(VLOOKUP(C260,$U$5:$W$129,2,FALSE),"")</f>
        <v/>
      </c>
      <c r="E260" s="186"/>
      <c r="F260" s="146" t="str">
        <f t="shared" ref="F260:F323" si="27">IFERROR(VLOOKUP(E260,$AA$5:$AB$500,2,FALSE),"")</f>
        <v/>
      </c>
      <c r="G260" s="185"/>
      <c r="H260" s="185"/>
      <c r="I260" s="185"/>
      <c r="J260" s="201"/>
      <c r="K260" s="200"/>
      <c r="L260" s="200"/>
      <c r="M260" s="201"/>
      <c r="N260" s="201"/>
      <c r="P260" s="141" t="str">
        <f t="shared" ref="P260:P323" si="28">LEFT(C260,3)</f>
        <v/>
      </c>
      <c r="Q260" s="141" t="str">
        <f t="shared" ref="Q260:Q323" si="29">LEFT(C260,2)</f>
        <v/>
      </c>
      <c r="AA260" s="141" t="s">
        <v>1070</v>
      </c>
      <c r="AB260" s="141" t="s">
        <v>1071</v>
      </c>
    </row>
    <row r="261" spans="1:28">
      <c r="A261" s="151"/>
      <c r="B261" s="146" t="str">
        <f t="shared" si="25"/>
        <v/>
      </c>
      <c r="C261" s="151"/>
      <c r="D261" s="146" t="str">
        <f t="shared" si="26"/>
        <v/>
      </c>
      <c r="E261" s="186"/>
      <c r="F261" s="146" t="str">
        <f t="shared" si="27"/>
        <v/>
      </c>
      <c r="G261" s="185"/>
      <c r="H261" s="185"/>
      <c r="I261" s="185"/>
      <c r="J261" s="201"/>
      <c r="K261" s="200"/>
      <c r="L261" s="200"/>
      <c r="M261" s="201"/>
      <c r="N261" s="201"/>
      <c r="P261" s="141" t="str">
        <f t="shared" si="28"/>
        <v/>
      </c>
      <c r="Q261" s="141" t="str">
        <f t="shared" si="29"/>
        <v/>
      </c>
      <c r="AA261" s="141" t="s">
        <v>1072</v>
      </c>
      <c r="AB261" s="141" t="s">
        <v>1073</v>
      </c>
    </row>
    <row r="262" spans="1:28">
      <c r="A262" s="151"/>
      <c r="B262" s="146" t="str">
        <f t="shared" si="25"/>
        <v/>
      </c>
      <c r="C262" s="151"/>
      <c r="D262" s="146" t="str">
        <f t="shared" si="26"/>
        <v/>
      </c>
      <c r="E262" s="186"/>
      <c r="F262" s="146" t="str">
        <f t="shared" si="27"/>
        <v/>
      </c>
      <c r="G262" s="185"/>
      <c r="H262" s="185"/>
      <c r="I262" s="185"/>
      <c r="J262" s="201"/>
      <c r="K262" s="200"/>
      <c r="L262" s="200"/>
      <c r="M262" s="201"/>
      <c r="N262" s="201"/>
      <c r="P262" s="141" t="str">
        <f t="shared" si="28"/>
        <v/>
      </c>
      <c r="Q262" s="141" t="str">
        <f t="shared" si="29"/>
        <v/>
      </c>
      <c r="AA262" s="141" t="s">
        <v>1074</v>
      </c>
      <c r="AB262" s="141" t="s">
        <v>1075</v>
      </c>
    </row>
    <row r="263" spans="1:28">
      <c r="A263" s="151"/>
      <c r="B263" s="146" t="str">
        <f t="shared" si="25"/>
        <v/>
      </c>
      <c r="C263" s="151"/>
      <c r="D263" s="146" t="str">
        <f t="shared" si="26"/>
        <v/>
      </c>
      <c r="E263" s="186"/>
      <c r="F263" s="146" t="str">
        <f t="shared" si="27"/>
        <v/>
      </c>
      <c r="G263" s="185"/>
      <c r="H263" s="185"/>
      <c r="I263" s="185"/>
      <c r="J263" s="201"/>
      <c r="K263" s="200"/>
      <c r="L263" s="200"/>
      <c r="M263" s="201"/>
      <c r="N263" s="201"/>
      <c r="P263" s="141" t="str">
        <f t="shared" si="28"/>
        <v/>
      </c>
      <c r="Q263" s="141" t="str">
        <f t="shared" si="29"/>
        <v/>
      </c>
      <c r="AA263" s="141" t="s">
        <v>1076</v>
      </c>
      <c r="AB263" s="141" t="s">
        <v>1077</v>
      </c>
    </row>
    <row r="264" spans="1:28">
      <c r="A264" s="151"/>
      <c r="B264" s="146" t="str">
        <f t="shared" si="25"/>
        <v/>
      </c>
      <c r="C264" s="151"/>
      <c r="D264" s="146" t="str">
        <f t="shared" si="26"/>
        <v/>
      </c>
      <c r="E264" s="186"/>
      <c r="F264" s="146" t="str">
        <f t="shared" si="27"/>
        <v/>
      </c>
      <c r="G264" s="185"/>
      <c r="H264" s="185"/>
      <c r="I264" s="185"/>
      <c r="J264" s="201"/>
      <c r="K264" s="200"/>
      <c r="L264" s="200"/>
      <c r="M264" s="201"/>
      <c r="N264" s="201"/>
      <c r="P264" s="141" t="str">
        <f t="shared" si="28"/>
        <v/>
      </c>
      <c r="Q264" s="141" t="str">
        <f t="shared" si="29"/>
        <v/>
      </c>
      <c r="AA264" s="141" t="s">
        <v>1078</v>
      </c>
      <c r="AB264" s="141" t="s">
        <v>1079</v>
      </c>
    </row>
    <row r="265" spans="1:28">
      <c r="A265" s="151"/>
      <c r="B265" s="146" t="str">
        <f t="shared" si="25"/>
        <v/>
      </c>
      <c r="C265" s="151"/>
      <c r="D265" s="146" t="str">
        <f t="shared" si="26"/>
        <v/>
      </c>
      <c r="E265" s="186"/>
      <c r="F265" s="146" t="str">
        <f t="shared" si="27"/>
        <v/>
      </c>
      <c r="G265" s="185"/>
      <c r="H265" s="185"/>
      <c r="I265" s="185"/>
      <c r="J265" s="201"/>
      <c r="K265" s="200"/>
      <c r="L265" s="200"/>
      <c r="M265" s="201"/>
      <c r="N265" s="201"/>
      <c r="P265" s="141" t="str">
        <f t="shared" si="28"/>
        <v/>
      </c>
      <c r="Q265" s="141" t="str">
        <f t="shared" si="29"/>
        <v/>
      </c>
      <c r="AA265" s="141" t="s">
        <v>1080</v>
      </c>
      <c r="AB265" s="141" t="s">
        <v>1081</v>
      </c>
    </row>
    <row r="266" spans="1:28">
      <c r="A266" s="151"/>
      <c r="B266" s="146" t="str">
        <f t="shared" si="25"/>
        <v/>
      </c>
      <c r="C266" s="151"/>
      <c r="D266" s="146" t="str">
        <f t="shared" si="26"/>
        <v/>
      </c>
      <c r="E266" s="186"/>
      <c r="F266" s="146" t="str">
        <f t="shared" si="27"/>
        <v/>
      </c>
      <c r="G266" s="185"/>
      <c r="H266" s="185"/>
      <c r="I266" s="185"/>
      <c r="J266" s="201"/>
      <c r="K266" s="200"/>
      <c r="L266" s="200"/>
      <c r="M266" s="201"/>
      <c r="N266" s="201"/>
      <c r="P266" s="141" t="str">
        <f t="shared" si="28"/>
        <v/>
      </c>
      <c r="Q266" s="141" t="str">
        <f t="shared" si="29"/>
        <v/>
      </c>
      <c r="AA266" s="141" t="s">
        <v>1082</v>
      </c>
      <c r="AB266" s="141" t="s">
        <v>1083</v>
      </c>
    </row>
    <row r="267" spans="1:28">
      <c r="A267" s="151"/>
      <c r="B267" s="146" t="str">
        <f t="shared" si="25"/>
        <v/>
      </c>
      <c r="C267" s="151"/>
      <c r="D267" s="146" t="str">
        <f t="shared" si="26"/>
        <v/>
      </c>
      <c r="E267" s="186"/>
      <c r="F267" s="146" t="str">
        <f t="shared" si="27"/>
        <v/>
      </c>
      <c r="G267" s="185"/>
      <c r="H267" s="185"/>
      <c r="I267" s="185"/>
      <c r="J267" s="201"/>
      <c r="K267" s="200"/>
      <c r="L267" s="200"/>
      <c r="M267" s="201"/>
      <c r="N267" s="201"/>
      <c r="P267" s="141" t="str">
        <f t="shared" si="28"/>
        <v/>
      </c>
      <c r="Q267" s="141" t="str">
        <f t="shared" si="29"/>
        <v/>
      </c>
      <c r="AA267" s="141" t="s">
        <v>1084</v>
      </c>
      <c r="AB267" s="141" t="s">
        <v>1085</v>
      </c>
    </row>
    <row r="268" spans="1:28">
      <c r="A268" s="151"/>
      <c r="B268" s="146" t="str">
        <f t="shared" si="25"/>
        <v/>
      </c>
      <c r="C268" s="151"/>
      <c r="D268" s="146" t="str">
        <f t="shared" si="26"/>
        <v/>
      </c>
      <c r="E268" s="186"/>
      <c r="F268" s="146" t="str">
        <f t="shared" si="27"/>
        <v/>
      </c>
      <c r="G268" s="185"/>
      <c r="H268" s="185"/>
      <c r="I268" s="185"/>
      <c r="J268" s="201"/>
      <c r="K268" s="200"/>
      <c r="L268" s="200"/>
      <c r="M268" s="201"/>
      <c r="N268" s="201"/>
      <c r="P268" s="141" t="str">
        <f t="shared" si="28"/>
        <v/>
      </c>
      <c r="Q268" s="141" t="str">
        <f t="shared" si="29"/>
        <v/>
      </c>
      <c r="AA268" s="141" t="s">
        <v>1086</v>
      </c>
      <c r="AB268" s="141" t="s">
        <v>1087</v>
      </c>
    </row>
    <row r="269" spans="1:28">
      <c r="A269" s="151"/>
      <c r="B269" s="146" t="str">
        <f t="shared" si="25"/>
        <v/>
      </c>
      <c r="C269" s="151"/>
      <c r="D269" s="146" t="str">
        <f t="shared" si="26"/>
        <v/>
      </c>
      <c r="E269" s="186"/>
      <c r="F269" s="146" t="str">
        <f t="shared" si="27"/>
        <v/>
      </c>
      <c r="G269" s="185"/>
      <c r="H269" s="185"/>
      <c r="I269" s="185"/>
      <c r="J269" s="201"/>
      <c r="K269" s="200"/>
      <c r="L269" s="200"/>
      <c r="M269" s="201"/>
      <c r="N269" s="201"/>
      <c r="P269" s="141" t="str">
        <f t="shared" si="28"/>
        <v/>
      </c>
      <c r="Q269" s="141" t="str">
        <f t="shared" si="29"/>
        <v/>
      </c>
      <c r="AA269" s="141" t="s">
        <v>1088</v>
      </c>
      <c r="AB269" s="141" t="s">
        <v>1089</v>
      </c>
    </row>
    <row r="270" spans="1:28">
      <c r="A270" s="151"/>
      <c r="B270" s="146" t="str">
        <f t="shared" si="25"/>
        <v/>
      </c>
      <c r="C270" s="151"/>
      <c r="D270" s="146" t="str">
        <f t="shared" si="26"/>
        <v/>
      </c>
      <c r="E270" s="186"/>
      <c r="F270" s="146" t="str">
        <f t="shared" si="27"/>
        <v/>
      </c>
      <c r="G270" s="185"/>
      <c r="H270" s="185"/>
      <c r="I270" s="185"/>
      <c r="J270" s="201"/>
      <c r="K270" s="200"/>
      <c r="L270" s="200"/>
      <c r="M270" s="201"/>
      <c r="N270" s="201"/>
      <c r="P270" s="141" t="str">
        <f t="shared" si="28"/>
        <v/>
      </c>
      <c r="Q270" s="141" t="str">
        <f t="shared" si="29"/>
        <v/>
      </c>
      <c r="AA270" s="141" t="s">
        <v>1090</v>
      </c>
      <c r="AB270" s="141" t="s">
        <v>1091</v>
      </c>
    </row>
    <row r="271" spans="1:28">
      <c r="A271" s="151"/>
      <c r="B271" s="146" t="str">
        <f t="shared" si="25"/>
        <v/>
      </c>
      <c r="C271" s="151"/>
      <c r="D271" s="146" t="str">
        <f t="shared" si="26"/>
        <v/>
      </c>
      <c r="E271" s="186"/>
      <c r="F271" s="146" t="str">
        <f t="shared" si="27"/>
        <v/>
      </c>
      <c r="G271" s="185"/>
      <c r="H271" s="185"/>
      <c r="I271" s="185"/>
      <c r="J271" s="201"/>
      <c r="K271" s="200"/>
      <c r="L271" s="200"/>
      <c r="M271" s="201"/>
      <c r="N271" s="201"/>
      <c r="P271" s="141" t="str">
        <f t="shared" si="28"/>
        <v/>
      </c>
      <c r="Q271" s="141" t="str">
        <f t="shared" si="29"/>
        <v/>
      </c>
      <c r="AA271" s="141" t="s">
        <v>1092</v>
      </c>
      <c r="AB271" s="141" t="s">
        <v>1093</v>
      </c>
    </row>
    <row r="272" spans="1:28">
      <c r="A272" s="151"/>
      <c r="B272" s="146" t="str">
        <f t="shared" si="25"/>
        <v/>
      </c>
      <c r="C272" s="151"/>
      <c r="D272" s="146" t="str">
        <f t="shared" si="26"/>
        <v/>
      </c>
      <c r="E272" s="186"/>
      <c r="F272" s="146" t="str">
        <f t="shared" si="27"/>
        <v/>
      </c>
      <c r="G272" s="185"/>
      <c r="H272" s="185"/>
      <c r="I272" s="185"/>
      <c r="J272" s="201"/>
      <c r="K272" s="200"/>
      <c r="L272" s="200"/>
      <c r="M272" s="201"/>
      <c r="N272" s="201"/>
      <c r="P272" s="141" t="str">
        <f t="shared" si="28"/>
        <v/>
      </c>
      <c r="Q272" s="141" t="str">
        <f t="shared" si="29"/>
        <v/>
      </c>
      <c r="AA272" s="141" t="s">
        <v>1094</v>
      </c>
      <c r="AB272" s="141" t="s">
        <v>1095</v>
      </c>
    </row>
    <row r="273" spans="1:28">
      <c r="A273" s="151"/>
      <c r="B273" s="146" t="str">
        <f t="shared" si="25"/>
        <v/>
      </c>
      <c r="C273" s="151"/>
      <c r="D273" s="146" t="str">
        <f t="shared" si="26"/>
        <v/>
      </c>
      <c r="E273" s="186"/>
      <c r="F273" s="146" t="str">
        <f t="shared" si="27"/>
        <v/>
      </c>
      <c r="G273" s="185"/>
      <c r="H273" s="185"/>
      <c r="I273" s="185"/>
      <c r="J273" s="201"/>
      <c r="K273" s="200"/>
      <c r="L273" s="200"/>
      <c r="M273" s="201"/>
      <c r="N273" s="201"/>
      <c r="P273" s="141" t="str">
        <f t="shared" si="28"/>
        <v/>
      </c>
      <c r="Q273" s="141" t="str">
        <f t="shared" si="29"/>
        <v/>
      </c>
      <c r="AA273" s="141" t="s">
        <v>1096</v>
      </c>
      <c r="AB273" s="141" t="s">
        <v>1097</v>
      </c>
    </row>
    <row r="274" spans="1:28">
      <c r="A274" s="151"/>
      <c r="B274" s="146" t="str">
        <f t="shared" si="25"/>
        <v/>
      </c>
      <c r="C274" s="151"/>
      <c r="D274" s="146" t="str">
        <f t="shared" si="26"/>
        <v/>
      </c>
      <c r="E274" s="186"/>
      <c r="F274" s="146" t="str">
        <f t="shared" si="27"/>
        <v/>
      </c>
      <c r="G274" s="185"/>
      <c r="H274" s="185"/>
      <c r="I274" s="185"/>
      <c r="J274" s="201"/>
      <c r="K274" s="200"/>
      <c r="L274" s="200"/>
      <c r="M274" s="201"/>
      <c r="N274" s="201"/>
      <c r="P274" s="141" t="str">
        <f t="shared" si="28"/>
        <v/>
      </c>
      <c r="Q274" s="141" t="str">
        <f t="shared" si="29"/>
        <v/>
      </c>
      <c r="AA274" s="141" t="s">
        <v>1098</v>
      </c>
      <c r="AB274" s="141" t="s">
        <v>1099</v>
      </c>
    </row>
    <row r="275" spans="1:28">
      <c r="A275" s="151"/>
      <c r="B275" s="146" t="str">
        <f t="shared" si="25"/>
        <v/>
      </c>
      <c r="C275" s="151"/>
      <c r="D275" s="146" t="str">
        <f t="shared" si="26"/>
        <v/>
      </c>
      <c r="E275" s="186"/>
      <c r="F275" s="146" t="str">
        <f t="shared" si="27"/>
        <v/>
      </c>
      <c r="G275" s="185"/>
      <c r="H275" s="185"/>
      <c r="I275" s="185"/>
      <c r="J275" s="201"/>
      <c r="K275" s="200"/>
      <c r="L275" s="200"/>
      <c r="M275" s="201"/>
      <c r="N275" s="201"/>
      <c r="P275" s="141" t="str">
        <f t="shared" si="28"/>
        <v/>
      </c>
      <c r="Q275" s="141" t="str">
        <f t="shared" si="29"/>
        <v/>
      </c>
      <c r="AA275" s="141" t="s">
        <v>1779</v>
      </c>
      <c r="AB275" s="141" t="s">
        <v>1780</v>
      </c>
    </row>
    <row r="276" spans="1:28">
      <c r="A276" s="151"/>
      <c r="B276" s="146" t="str">
        <f t="shared" si="25"/>
        <v/>
      </c>
      <c r="C276" s="151"/>
      <c r="D276" s="146" t="str">
        <f t="shared" si="26"/>
        <v/>
      </c>
      <c r="E276" s="186"/>
      <c r="F276" s="146" t="str">
        <f t="shared" si="27"/>
        <v/>
      </c>
      <c r="G276" s="185"/>
      <c r="H276" s="185"/>
      <c r="I276" s="185"/>
      <c r="J276" s="201"/>
      <c r="K276" s="200"/>
      <c r="L276" s="200"/>
      <c r="M276" s="201"/>
      <c r="N276" s="201"/>
      <c r="P276" s="141" t="str">
        <f t="shared" si="28"/>
        <v/>
      </c>
      <c r="Q276" s="141" t="str">
        <f t="shared" si="29"/>
        <v/>
      </c>
      <c r="AA276" s="141" t="s">
        <v>1781</v>
      </c>
      <c r="AB276" s="141" t="s">
        <v>1782</v>
      </c>
    </row>
    <row r="277" spans="1:28">
      <c r="A277" s="151"/>
      <c r="B277" s="146" t="str">
        <f t="shared" si="25"/>
        <v/>
      </c>
      <c r="C277" s="151"/>
      <c r="D277" s="146" t="str">
        <f t="shared" si="26"/>
        <v/>
      </c>
      <c r="E277" s="186"/>
      <c r="F277" s="146" t="str">
        <f t="shared" si="27"/>
        <v/>
      </c>
      <c r="G277" s="185"/>
      <c r="H277" s="185"/>
      <c r="I277" s="185"/>
      <c r="J277" s="201"/>
      <c r="K277" s="200"/>
      <c r="L277" s="200"/>
      <c r="M277" s="201"/>
      <c r="N277" s="201"/>
      <c r="P277" s="141" t="str">
        <f t="shared" si="28"/>
        <v/>
      </c>
      <c r="Q277" s="141" t="str">
        <f t="shared" si="29"/>
        <v/>
      </c>
      <c r="AA277" s="141" t="s">
        <v>1783</v>
      </c>
      <c r="AB277" s="141" t="s">
        <v>1784</v>
      </c>
    </row>
    <row r="278" spans="1:28">
      <c r="A278" s="151"/>
      <c r="B278" s="146" t="str">
        <f t="shared" si="25"/>
        <v/>
      </c>
      <c r="C278" s="151"/>
      <c r="D278" s="146" t="str">
        <f t="shared" si="26"/>
        <v/>
      </c>
      <c r="E278" s="186"/>
      <c r="F278" s="146" t="str">
        <f t="shared" si="27"/>
        <v/>
      </c>
      <c r="G278" s="185"/>
      <c r="H278" s="185"/>
      <c r="I278" s="185"/>
      <c r="J278" s="201"/>
      <c r="K278" s="200"/>
      <c r="L278" s="200"/>
      <c r="M278" s="201"/>
      <c r="N278" s="201"/>
      <c r="P278" s="141" t="str">
        <f t="shared" si="28"/>
        <v/>
      </c>
      <c r="Q278" s="141" t="str">
        <f t="shared" si="29"/>
        <v/>
      </c>
      <c r="AA278" s="141" t="s">
        <v>1785</v>
      </c>
      <c r="AB278" s="141" t="s">
        <v>1786</v>
      </c>
    </row>
    <row r="279" spans="1:28">
      <c r="A279" s="151"/>
      <c r="B279" s="146" t="str">
        <f t="shared" si="25"/>
        <v/>
      </c>
      <c r="C279" s="151"/>
      <c r="D279" s="146" t="str">
        <f t="shared" si="26"/>
        <v/>
      </c>
      <c r="E279" s="186"/>
      <c r="F279" s="146" t="str">
        <f t="shared" si="27"/>
        <v/>
      </c>
      <c r="G279" s="185"/>
      <c r="H279" s="185"/>
      <c r="I279" s="185"/>
      <c r="J279" s="201"/>
      <c r="K279" s="200"/>
      <c r="L279" s="200"/>
      <c r="M279" s="201"/>
      <c r="N279" s="201"/>
      <c r="P279" s="141" t="str">
        <f t="shared" si="28"/>
        <v/>
      </c>
      <c r="Q279" s="141" t="str">
        <f t="shared" si="29"/>
        <v/>
      </c>
      <c r="AA279" s="141" t="s">
        <v>1787</v>
      </c>
      <c r="AB279" s="141" t="s">
        <v>1788</v>
      </c>
    </row>
    <row r="280" spans="1:28">
      <c r="A280" s="151"/>
      <c r="B280" s="146" t="str">
        <f t="shared" si="25"/>
        <v/>
      </c>
      <c r="C280" s="151"/>
      <c r="D280" s="146" t="str">
        <f t="shared" si="26"/>
        <v/>
      </c>
      <c r="E280" s="186"/>
      <c r="F280" s="146" t="str">
        <f t="shared" si="27"/>
        <v/>
      </c>
      <c r="G280" s="185"/>
      <c r="H280" s="185"/>
      <c r="I280" s="185"/>
      <c r="J280" s="201"/>
      <c r="K280" s="200"/>
      <c r="L280" s="200"/>
      <c r="M280" s="201"/>
      <c r="N280" s="201"/>
      <c r="P280" s="141" t="str">
        <f t="shared" si="28"/>
        <v/>
      </c>
      <c r="Q280" s="141" t="str">
        <f t="shared" si="29"/>
        <v/>
      </c>
      <c r="AA280" s="141" t="s">
        <v>1789</v>
      </c>
      <c r="AB280" s="141" t="s">
        <v>1790</v>
      </c>
    </row>
    <row r="281" spans="1:28">
      <c r="A281" s="151"/>
      <c r="B281" s="146" t="str">
        <f t="shared" si="25"/>
        <v/>
      </c>
      <c r="C281" s="151"/>
      <c r="D281" s="146" t="str">
        <f t="shared" si="26"/>
        <v/>
      </c>
      <c r="E281" s="186"/>
      <c r="F281" s="146" t="str">
        <f t="shared" si="27"/>
        <v/>
      </c>
      <c r="G281" s="185"/>
      <c r="H281" s="185"/>
      <c r="I281" s="185"/>
      <c r="J281" s="201"/>
      <c r="K281" s="200"/>
      <c r="L281" s="200"/>
      <c r="M281" s="201"/>
      <c r="N281" s="201"/>
      <c r="P281" s="141" t="str">
        <f t="shared" si="28"/>
        <v/>
      </c>
      <c r="Q281" s="141" t="str">
        <f t="shared" si="29"/>
        <v/>
      </c>
      <c r="AA281" s="141" t="s">
        <v>1791</v>
      </c>
      <c r="AB281" s="141" t="s">
        <v>1792</v>
      </c>
    </row>
    <row r="282" spans="1:28">
      <c r="A282" s="151"/>
      <c r="B282" s="146" t="str">
        <f t="shared" si="25"/>
        <v/>
      </c>
      <c r="C282" s="151"/>
      <c r="D282" s="146" t="str">
        <f t="shared" si="26"/>
        <v/>
      </c>
      <c r="E282" s="186"/>
      <c r="F282" s="146" t="str">
        <f t="shared" si="27"/>
        <v/>
      </c>
      <c r="G282" s="185"/>
      <c r="H282" s="185"/>
      <c r="I282" s="185"/>
      <c r="J282" s="201"/>
      <c r="K282" s="200"/>
      <c r="L282" s="200"/>
      <c r="M282" s="201"/>
      <c r="N282" s="201"/>
      <c r="P282" s="141" t="str">
        <f t="shared" si="28"/>
        <v/>
      </c>
      <c r="Q282" s="141" t="str">
        <f t="shared" si="29"/>
        <v/>
      </c>
      <c r="AA282" s="141" t="s">
        <v>1793</v>
      </c>
      <c r="AB282" s="141" t="s">
        <v>1794</v>
      </c>
    </row>
    <row r="283" spans="1:28">
      <c r="A283" s="151"/>
      <c r="B283" s="146" t="str">
        <f t="shared" si="25"/>
        <v/>
      </c>
      <c r="C283" s="151"/>
      <c r="D283" s="146" t="str">
        <f t="shared" si="26"/>
        <v/>
      </c>
      <c r="E283" s="186"/>
      <c r="F283" s="146" t="str">
        <f t="shared" si="27"/>
        <v/>
      </c>
      <c r="G283" s="185"/>
      <c r="H283" s="185"/>
      <c r="I283" s="185"/>
      <c r="J283" s="201"/>
      <c r="K283" s="200"/>
      <c r="L283" s="200"/>
      <c r="M283" s="201"/>
      <c r="N283" s="201"/>
      <c r="P283" s="141" t="str">
        <f t="shared" si="28"/>
        <v/>
      </c>
      <c r="Q283" s="141" t="str">
        <f t="shared" si="29"/>
        <v/>
      </c>
      <c r="AA283" s="141" t="s">
        <v>1795</v>
      </c>
      <c r="AB283" s="141" t="s">
        <v>1796</v>
      </c>
    </row>
    <row r="284" spans="1:28">
      <c r="A284" s="151"/>
      <c r="B284" s="146" t="str">
        <f t="shared" si="25"/>
        <v/>
      </c>
      <c r="C284" s="151"/>
      <c r="D284" s="146" t="str">
        <f t="shared" si="26"/>
        <v/>
      </c>
      <c r="E284" s="186"/>
      <c r="F284" s="146" t="str">
        <f t="shared" si="27"/>
        <v/>
      </c>
      <c r="G284" s="185"/>
      <c r="H284" s="185"/>
      <c r="I284" s="185"/>
      <c r="J284" s="201"/>
      <c r="K284" s="200"/>
      <c r="L284" s="200"/>
      <c r="M284" s="201"/>
      <c r="N284" s="201"/>
      <c r="P284" s="141" t="str">
        <f t="shared" si="28"/>
        <v/>
      </c>
      <c r="Q284" s="141" t="str">
        <f t="shared" si="29"/>
        <v/>
      </c>
      <c r="AA284" s="141" t="s">
        <v>1797</v>
      </c>
      <c r="AB284" s="141" t="s">
        <v>1798</v>
      </c>
    </row>
    <row r="285" spans="1:28">
      <c r="A285" s="151"/>
      <c r="B285" s="146" t="str">
        <f t="shared" si="25"/>
        <v/>
      </c>
      <c r="C285" s="151"/>
      <c r="D285" s="146" t="str">
        <f t="shared" si="26"/>
        <v/>
      </c>
      <c r="E285" s="186"/>
      <c r="F285" s="146" t="str">
        <f t="shared" si="27"/>
        <v/>
      </c>
      <c r="G285" s="185"/>
      <c r="H285" s="185"/>
      <c r="I285" s="185"/>
      <c r="J285" s="201"/>
      <c r="K285" s="200"/>
      <c r="L285" s="200"/>
      <c r="M285" s="201"/>
      <c r="N285" s="201"/>
      <c r="P285" s="141" t="str">
        <f t="shared" si="28"/>
        <v/>
      </c>
      <c r="Q285" s="141" t="str">
        <f t="shared" si="29"/>
        <v/>
      </c>
      <c r="AA285" s="141" t="s">
        <v>1799</v>
      </c>
      <c r="AB285" s="141" t="s">
        <v>1800</v>
      </c>
    </row>
    <row r="286" spans="1:28">
      <c r="A286" s="151"/>
      <c r="B286" s="146" t="str">
        <f t="shared" si="25"/>
        <v/>
      </c>
      <c r="C286" s="151"/>
      <c r="D286" s="146" t="str">
        <f t="shared" si="26"/>
        <v/>
      </c>
      <c r="E286" s="186"/>
      <c r="F286" s="146" t="str">
        <f t="shared" si="27"/>
        <v/>
      </c>
      <c r="G286" s="185"/>
      <c r="H286" s="185"/>
      <c r="I286" s="185"/>
      <c r="J286" s="201"/>
      <c r="K286" s="200"/>
      <c r="L286" s="200"/>
      <c r="M286" s="201"/>
      <c r="N286" s="201"/>
      <c r="P286" s="141" t="str">
        <f t="shared" si="28"/>
        <v/>
      </c>
      <c r="Q286" s="141" t="str">
        <f t="shared" si="29"/>
        <v/>
      </c>
      <c r="AA286" s="141" t="s">
        <v>1801</v>
      </c>
      <c r="AB286" s="141" t="s">
        <v>1802</v>
      </c>
    </row>
    <row r="287" spans="1:28">
      <c r="A287" s="151"/>
      <c r="B287" s="146" t="str">
        <f t="shared" si="25"/>
        <v/>
      </c>
      <c r="C287" s="151"/>
      <c r="D287" s="146" t="str">
        <f t="shared" si="26"/>
        <v/>
      </c>
      <c r="E287" s="186"/>
      <c r="F287" s="146" t="str">
        <f t="shared" si="27"/>
        <v/>
      </c>
      <c r="G287" s="185"/>
      <c r="H287" s="185"/>
      <c r="I287" s="185"/>
      <c r="J287" s="201"/>
      <c r="K287" s="200"/>
      <c r="L287" s="200"/>
      <c r="M287" s="201"/>
      <c r="N287" s="201"/>
      <c r="P287" s="141" t="str">
        <f t="shared" si="28"/>
        <v/>
      </c>
      <c r="Q287" s="141" t="str">
        <f t="shared" si="29"/>
        <v/>
      </c>
      <c r="AA287" s="141" t="s">
        <v>1803</v>
      </c>
      <c r="AB287" s="141" t="s">
        <v>1804</v>
      </c>
    </row>
    <row r="288" spans="1:28">
      <c r="A288" s="151"/>
      <c r="B288" s="146" t="str">
        <f t="shared" si="25"/>
        <v/>
      </c>
      <c r="C288" s="151"/>
      <c r="D288" s="146" t="str">
        <f t="shared" si="26"/>
        <v/>
      </c>
      <c r="E288" s="186"/>
      <c r="F288" s="146" t="str">
        <f t="shared" si="27"/>
        <v/>
      </c>
      <c r="G288" s="185"/>
      <c r="H288" s="185"/>
      <c r="I288" s="185"/>
      <c r="J288" s="201"/>
      <c r="K288" s="200"/>
      <c r="L288" s="200"/>
      <c r="M288" s="201"/>
      <c r="N288" s="201"/>
      <c r="P288" s="141" t="str">
        <f t="shared" si="28"/>
        <v/>
      </c>
      <c r="Q288" s="141" t="str">
        <f t="shared" si="29"/>
        <v/>
      </c>
      <c r="AA288" s="141" t="s">
        <v>1805</v>
      </c>
      <c r="AB288" s="141" t="s">
        <v>1806</v>
      </c>
    </row>
    <row r="289" spans="1:28">
      <c r="A289" s="151"/>
      <c r="B289" s="146" t="str">
        <f t="shared" si="25"/>
        <v/>
      </c>
      <c r="C289" s="151"/>
      <c r="D289" s="146" t="str">
        <f t="shared" si="26"/>
        <v/>
      </c>
      <c r="E289" s="186"/>
      <c r="F289" s="146" t="str">
        <f t="shared" si="27"/>
        <v/>
      </c>
      <c r="G289" s="185"/>
      <c r="H289" s="185"/>
      <c r="I289" s="185"/>
      <c r="J289" s="201"/>
      <c r="K289" s="200"/>
      <c r="L289" s="200"/>
      <c r="M289" s="201"/>
      <c r="N289" s="201"/>
      <c r="P289" s="141" t="str">
        <f t="shared" si="28"/>
        <v/>
      </c>
      <c r="Q289" s="141" t="str">
        <f t="shared" si="29"/>
        <v/>
      </c>
      <c r="AA289" s="141" t="s">
        <v>1807</v>
      </c>
      <c r="AB289" s="141" t="s">
        <v>1808</v>
      </c>
    </row>
    <row r="290" spans="1:28">
      <c r="A290" s="151"/>
      <c r="B290" s="146" t="str">
        <f t="shared" si="25"/>
        <v/>
      </c>
      <c r="C290" s="151"/>
      <c r="D290" s="146" t="str">
        <f t="shared" si="26"/>
        <v/>
      </c>
      <c r="E290" s="186"/>
      <c r="F290" s="146" t="str">
        <f t="shared" si="27"/>
        <v/>
      </c>
      <c r="G290" s="185"/>
      <c r="H290" s="185"/>
      <c r="I290" s="185"/>
      <c r="J290" s="201"/>
      <c r="K290" s="200"/>
      <c r="L290" s="200"/>
      <c r="M290" s="201"/>
      <c r="N290" s="201"/>
      <c r="P290" s="141" t="str">
        <f t="shared" si="28"/>
        <v/>
      </c>
      <c r="Q290" s="141" t="str">
        <f t="shared" si="29"/>
        <v/>
      </c>
      <c r="AA290" s="141" t="s">
        <v>1809</v>
      </c>
      <c r="AB290" s="141" t="s">
        <v>1810</v>
      </c>
    </row>
    <row r="291" spans="1:28">
      <c r="A291" s="151"/>
      <c r="B291" s="146" t="str">
        <f t="shared" si="25"/>
        <v/>
      </c>
      <c r="C291" s="151"/>
      <c r="D291" s="146" t="str">
        <f t="shared" si="26"/>
        <v/>
      </c>
      <c r="E291" s="186"/>
      <c r="F291" s="146" t="str">
        <f t="shared" si="27"/>
        <v/>
      </c>
      <c r="G291" s="185"/>
      <c r="H291" s="185"/>
      <c r="I291" s="185"/>
      <c r="J291" s="201"/>
      <c r="K291" s="200"/>
      <c r="L291" s="200"/>
      <c r="M291" s="201"/>
      <c r="N291" s="201"/>
      <c r="P291" s="141" t="str">
        <f t="shared" si="28"/>
        <v/>
      </c>
      <c r="Q291" s="141" t="str">
        <f t="shared" si="29"/>
        <v/>
      </c>
      <c r="AA291" s="141" t="s">
        <v>1811</v>
      </c>
      <c r="AB291" s="141" t="s">
        <v>1812</v>
      </c>
    </row>
    <row r="292" spans="1:28">
      <c r="A292" s="151"/>
      <c r="B292" s="146" t="str">
        <f t="shared" si="25"/>
        <v/>
      </c>
      <c r="C292" s="151"/>
      <c r="D292" s="146" t="str">
        <f t="shared" si="26"/>
        <v/>
      </c>
      <c r="E292" s="186"/>
      <c r="F292" s="146" t="str">
        <f t="shared" si="27"/>
        <v/>
      </c>
      <c r="G292" s="185"/>
      <c r="H292" s="185"/>
      <c r="I292" s="185"/>
      <c r="J292" s="201"/>
      <c r="K292" s="200"/>
      <c r="L292" s="200"/>
      <c r="M292" s="201"/>
      <c r="N292" s="201"/>
      <c r="P292" s="141" t="str">
        <f t="shared" si="28"/>
        <v/>
      </c>
      <c r="Q292" s="141" t="str">
        <f t="shared" si="29"/>
        <v/>
      </c>
      <c r="AA292" s="141" t="s">
        <v>1813</v>
      </c>
      <c r="AB292" s="141" t="s">
        <v>1814</v>
      </c>
    </row>
    <row r="293" spans="1:28">
      <c r="A293" s="151"/>
      <c r="B293" s="146" t="str">
        <f t="shared" si="25"/>
        <v/>
      </c>
      <c r="C293" s="151"/>
      <c r="D293" s="146" t="str">
        <f t="shared" si="26"/>
        <v/>
      </c>
      <c r="E293" s="186"/>
      <c r="F293" s="146" t="str">
        <f t="shared" si="27"/>
        <v/>
      </c>
      <c r="G293" s="185"/>
      <c r="H293" s="185"/>
      <c r="I293" s="185"/>
      <c r="J293" s="201"/>
      <c r="K293" s="200"/>
      <c r="L293" s="200"/>
      <c r="M293" s="201"/>
      <c r="N293" s="201"/>
      <c r="P293" s="141" t="str">
        <f t="shared" si="28"/>
        <v/>
      </c>
      <c r="Q293" s="141" t="str">
        <f t="shared" si="29"/>
        <v/>
      </c>
      <c r="AA293" s="141" t="s">
        <v>1815</v>
      </c>
      <c r="AB293" s="141" t="s">
        <v>1816</v>
      </c>
    </row>
    <row r="294" spans="1:28">
      <c r="A294" s="151"/>
      <c r="B294" s="146" t="str">
        <f t="shared" si="25"/>
        <v/>
      </c>
      <c r="C294" s="151"/>
      <c r="D294" s="146" t="str">
        <f t="shared" si="26"/>
        <v/>
      </c>
      <c r="E294" s="186"/>
      <c r="F294" s="146" t="str">
        <f t="shared" si="27"/>
        <v/>
      </c>
      <c r="G294" s="185"/>
      <c r="H294" s="185"/>
      <c r="I294" s="185"/>
      <c r="J294" s="201"/>
      <c r="K294" s="200"/>
      <c r="L294" s="200"/>
      <c r="M294" s="201"/>
      <c r="N294" s="201"/>
      <c r="P294" s="141" t="str">
        <f t="shared" si="28"/>
        <v/>
      </c>
      <c r="Q294" s="141" t="str">
        <f t="shared" si="29"/>
        <v/>
      </c>
      <c r="AA294" s="141" t="s">
        <v>1817</v>
      </c>
      <c r="AB294" s="141" t="s">
        <v>1818</v>
      </c>
    </row>
    <row r="295" spans="1:28">
      <c r="A295" s="151"/>
      <c r="B295" s="146" t="str">
        <f t="shared" si="25"/>
        <v/>
      </c>
      <c r="C295" s="151"/>
      <c r="D295" s="146" t="str">
        <f t="shared" si="26"/>
        <v/>
      </c>
      <c r="E295" s="186"/>
      <c r="F295" s="146" t="str">
        <f t="shared" si="27"/>
        <v/>
      </c>
      <c r="G295" s="185"/>
      <c r="H295" s="185"/>
      <c r="I295" s="185"/>
      <c r="J295" s="201"/>
      <c r="K295" s="200"/>
      <c r="L295" s="200"/>
      <c r="M295" s="201"/>
      <c r="N295" s="201"/>
      <c r="P295" s="141" t="str">
        <f t="shared" si="28"/>
        <v/>
      </c>
      <c r="Q295" s="141" t="str">
        <f t="shared" si="29"/>
        <v/>
      </c>
      <c r="AA295" s="141" t="s">
        <v>1819</v>
      </c>
      <c r="AB295" s="141" t="s">
        <v>1820</v>
      </c>
    </row>
    <row r="296" spans="1:28">
      <c r="A296" s="151"/>
      <c r="B296" s="146" t="str">
        <f t="shared" si="25"/>
        <v/>
      </c>
      <c r="C296" s="151"/>
      <c r="D296" s="146" t="str">
        <f t="shared" si="26"/>
        <v/>
      </c>
      <c r="E296" s="186"/>
      <c r="F296" s="146" t="str">
        <f t="shared" si="27"/>
        <v/>
      </c>
      <c r="G296" s="185"/>
      <c r="H296" s="185"/>
      <c r="I296" s="185"/>
      <c r="J296" s="201"/>
      <c r="K296" s="200"/>
      <c r="L296" s="200"/>
      <c r="M296" s="201"/>
      <c r="N296" s="201"/>
      <c r="P296" s="141" t="str">
        <f t="shared" si="28"/>
        <v/>
      </c>
      <c r="Q296" s="141" t="str">
        <f t="shared" si="29"/>
        <v/>
      </c>
      <c r="AA296" s="141" t="s">
        <v>1821</v>
      </c>
      <c r="AB296" s="141" t="s">
        <v>1822</v>
      </c>
    </row>
    <row r="297" spans="1:28">
      <c r="A297" s="151"/>
      <c r="B297" s="146" t="str">
        <f t="shared" si="25"/>
        <v/>
      </c>
      <c r="C297" s="151"/>
      <c r="D297" s="146" t="str">
        <f t="shared" si="26"/>
        <v/>
      </c>
      <c r="E297" s="186"/>
      <c r="F297" s="146" t="str">
        <f t="shared" si="27"/>
        <v/>
      </c>
      <c r="G297" s="185"/>
      <c r="H297" s="185"/>
      <c r="I297" s="185"/>
      <c r="J297" s="201"/>
      <c r="K297" s="200"/>
      <c r="L297" s="200"/>
      <c r="M297" s="201"/>
      <c r="N297" s="201"/>
      <c r="P297" s="141" t="str">
        <f t="shared" si="28"/>
        <v/>
      </c>
      <c r="Q297" s="141" t="str">
        <f t="shared" si="29"/>
        <v/>
      </c>
      <c r="AA297" s="141" t="s">
        <v>1823</v>
      </c>
      <c r="AB297" s="141" t="s">
        <v>1824</v>
      </c>
    </row>
    <row r="298" spans="1:28">
      <c r="A298" s="151"/>
      <c r="B298" s="146" t="str">
        <f t="shared" si="25"/>
        <v/>
      </c>
      <c r="C298" s="151"/>
      <c r="D298" s="146" t="str">
        <f t="shared" si="26"/>
        <v/>
      </c>
      <c r="E298" s="186"/>
      <c r="F298" s="146" t="str">
        <f t="shared" si="27"/>
        <v/>
      </c>
      <c r="G298" s="185"/>
      <c r="H298" s="185"/>
      <c r="I298" s="185"/>
      <c r="J298" s="201"/>
      <c r="K298" s="200"/>
      <c r="L298" s="200"/>
      <c r="M298" s="201"/>
      <c r="N298" s="201"/>
      <c r="P298" s="141" t="str">
        <f t="shared" si="28"/>
        <v/>
      </c>
      <c r="Q298" s="141" t="str">
        <f t="shared" si="29"/>
        <v/>
      </c>
      <c r="AA298" s="141" t="s">
        <v>1825</v>
      </c>
      <c r="AB298" s="141" t="s">
        <v>1826</v>
      </c>
    </row>
    <row r="299" spans="1:28">
      <c r="A299" s="151"/>
      <c r="B299" s="146" t="str">
        <f t="shared" si="25"/>
        <v/>
      </c>
      <c r="C299" s="151"/>
      <c r="D299" s="146" t="str">
        <f t="shared" si="26"/>
        <v/>
      </c>
      <c r="E299" s="186"/>
      <c r="F299" s="146" t="str">
        <f t="shared" si="27"/>
        <v/>
      </c>
      <c r="G299" s="185"/>
      <c r="H299" s="185"/>
      <c r="I299" s="185"/>
      <c r="J299" s="201"/>
      <c r="K299" s="200"/>
      <c r="L299" s="200"/>
      <c r="M299" s="201"/>
      <c r="N299" s="201"/>
      <c r="P299" s="141" t="str">
        <f t="shared" si="28"/>
        <v/>
      </c>
      <c r="Q299" s="141" t="str">
        <f t="shared" si="29"/>
        <v/>
      </c>
      <c r="AA299" s="141" t="s">
        <v>1827</v>
      </c>
      <c r="AB299" s="141" t="s">
        <v>1828</v>
      </c>
    </row>
    <row r="300" spans="1:28">
      <c r="A300" s="151"/>
      <c r="B300" s="146" t="str">
        <f t="shared" si="25"/>
        <v/>
      </c>
      <c r="C300" s="151"/>
      <c r="D300" s="146" t="str">
        <f t="shared" si="26"/>
        <v/>
      </c>
      <c r="E300" s="186"/>
      <c r="F300" s="146" t="str">
        <f t="shared" si="27"/>
        <v/>
      </c>
      <c r="G300" s="185"/>
      <c r="H300" s="185"/>
      <c r="I300" s="185"/>
      <c r="J300" s="201"/>
      <c r="K300" s="200"/>
      <c r="L300" s="200"/>
      <c r="M300" s="201"/>
      <c r="N300" s="201"/>
      <c r="P300" s="141" t="str">
        <f t="shared" si="28"/>
        <v/>
      </c>
      <c r="Q300" s="141" t="str">
        <f t="shared" si="29"/>
        <v/>
      </c>
      <c r="AA300" s="141" t="s">
        <v>1829</v>
      </c>
      <c r="AB300" s="141" t="s">
        <v>1830</v>
      </c>
    </row>
    <row r="301" spans="1:28">
      <c r="A301" s="151"/>
      <c r="B301" s="146" t="str">
        <f t="shared" si="25"/>
        <v/>
      </c>
      <c r="C301" s="151"/>
      <c r="D301" s="146" t="str">
        <f t="shared" si="26"/>
        <v/>
      </c>
      <c r="E301" s="186"/>
      <c r="F301" s="146" t="str">
        <f t="shared" si="27"/>
        <v/>
      </c>
      <c r="G301" s="185"/>
      <c r="H301" s="185"/>
      <c r="I301" s="185"/>
      <c r="J301" s="201"/>
      <c r="K301" s="200"/>
      <c r="L301" s="200"/>
      <c r="M301" s="201"/>
      <c r="N301" s="201"/>
      <c r="P301" s="141" t="str">
        <f t="shared" si="28"/>
        <v/>
      </c>
      <c r="Q301" s="141" t="str">
        <f t="shared" si="29"/>
        <v/>
      </c>
      <c r="AA301" s="141" t="s">
        <v>1831</v>
      </c>
      <c r="AB301" s="141" t="s">
        <v>1832</v>
      </c>
    </row>
    <row r="302" spans="1:28">
      <c r="A302" s="151"/>
      <c r="B302" s="146" t="str">
        <f t="shared" si="25"/>
        <v/>
      </c>
      <c r="C302" s="151"/>
      <c r="D302" s="146" t="str">
        <f t="shared" si="26"/>
        <v/>
      </c>
      <c r="E302" s="186"/>
      <c r="F302" s="146" t="str">
        <f t="shared" si="27"/>
        <v/>
      </c>
      <c r="G302" s="185"/>
      <c r="H302" s="185"/>
      <c r="I302" s="185"/>
      <c r="J302" s="201"/>
      <c r="K302" s="200"/>
      <c r="L302" s="200"/>
      <c r="M302" s="201"/>
      <c r="N302" s="201"/>
      <c r="P302" s="141" t="str">
        <f t="shared" si="28"/>
        <v/>
      </c>
      <c r="Q302" s="141" t="str">
        <f t="shared" si="29"/>
        <v/>
      </c>
      <c r="AA302" s="141" t="s">
        <v>1833</v>
      </c>
      <c r="AB302" s="141" t="s">
        <v>1834</v>
      </c>
    </row>
    <row r="303" spans="1:28">
      <c r="A303" s="151"/>
      <c r="B303" s="146" t="str">
        <f t="shared" si="25"/>
        <v/>
      </c>
      <c r="C303" s="151"/>
      <c r="D303" s="146" t="str">
        <f t="shared" si="26"/>
        <v/>
      </c>
      <c r="E303" s="186"/>
      <c r="F303" s="146" t="str">
        <f t="shared" si="27"/>
        <v/>
      </c>
      <c r="G303" s="185"/>
      <c r="H303" s="185"/>
      <c r="I303" s="185"/>
      <c r="J303" s="201"/>
      <c r="K303" s="200"/>
      <c r="L303" s="200"/>
      <c r="M303" s="201"/>
      <c r="N303" s="201"/>
      <c r="P303" s="141" t="str">
        <f t="shared" si="28"/>
        <v/>
      </c>
      <c r="Q303" s="141" t="str">
        <f t="shared" si="29"/>
        <v/>
      </c>
      <c r="AA303" s="141" t="s">
        <v>1835</v>
      </c>
      <c r="AB303" s="141" t="s">
        <v>1836</v>
      </c>
    </row>
    <row r="304" spans="1:28">
      <c r="A304" s="151"/>
      <c r="B304" s="146" t="str">
        <f t="shared" si="25"/>
        <v/>
      </c>
      <c r="C304" s="151"/>
      <c r="D304" s="146" t="str">
        <f t="shared" si="26"/>
        <v/>
      </c>
      <c r="E304" s="186"/>
      <c r="F304" s="146" t="str">
        <f t="shared" si="27"/>
        <v/>
      </c>
      <c r="G304" s="185"/>
      <c r="H304" s="185"/>
      <c r="I304" s="185"/>
      <c r="J304" s="201"/>
      <c r="K304" s="200"/>
      <c r="L304" s="200"/>
      <c r="M304" s="201"/>
      <c r="N304" s="201"/>
      <c r="P304" s="141" t="str">
        <f t="shared" si="28"/>
        <v/>
      </c>
      <c r="Q304" s="141" t="str">
        <f t="shared" si="29"/>
        <v/>
      </c>
      <c r="AA304" s="141" t="s">
        <v>1837</v>
      </c>
      <c r="AB304" s="141" t="s">
        <v>1838</v>
      </c>
    </row>
    <row r="305" spans="1:28">
      <c r="A305" s="151"/>
      <c r="B305" s="146" t="str">
        <f t="shared" si="25"/>
        <v/>
      </c>
      <c r="C305" s="151"/>
      <c r="D305" s="146" t="str">
        <f t="shared" si="26"/>
        <v/>
      </c>
      <c r="E305" s="186"/>
      <c r="F305" s="146" t="str">
        <f t="shared" si="27"/>
        <v/>
      </c>
      <c r="G305" s="185"/>
      <c r="H305" s="185"/>
      <c r="I305" s="185"/>
      <c r="J305" s="201"/>
      <c r="K305" s="200"/>
      <c r="L305" s="200"/>
      <c r="M305" s="201"/>
      <c r="N305" s="201"/>
      <c r="P305" s="141" t="str">
        <f t="shared" si="28"/>
        <v/>
      </c>
      <c r="Q305" s="141" t="str">
        <f t="shared" si="29"/>
        <v/>
      </c>
      <c r="AA305" s="141" t="s">
        <v>1839</v>
      </c>
      <c r="AB305" s="141" t="s">
        <v>1840</v>
      </c>
    </row>
    <row r="306" spans="1:28">
      <c r="A306" s="151"/>
      <c r="B306" s="146" t="str">
        <f t="shared" si="25"/>
        <v/>
      </c>
      <c r="C306" s="151"/>
      <c r="D306" s="146" t="str">
        <f t="shared" si="26"/>
        <v/>
      </c>
      <c r="E306" s="186"/>
      <c r="F306" s="146" t="str">
        <f t="shared" si="27"/>
        <v/>
      </c>
      <c r="G306" s="185"/>
      <c r="H306" s="185"/>
      <c r="I306" s="185"/>
      <c r="J306" s="201"/>
      <c r="K306" s="200"/>
      <c r="L306" s="200"/>
      <c r="M306" s="201"/>
      <c r="N306" s="201"/>
      <c r="P306" s="141" t="str">
        <f t="shared" si="28"/>
        <v/>
      </c>
      <c r="Q306" s="141" t="str">
        <f t="shared" si="29"/>
        <v/>
      </c>
      <c r="AA306" s="141" t="s">
        <v>1841</v>
      </c>
      <c r="AB306" s="141" t="s">
        <v>1842</v>
      </c>
    </row>
    <row r="307" spans="1:28">
      <c r="A307" s="151"/>
      <c r="B307" s="146" t="str">
        <f t="shared" si="25"/>
        <v/>
      </c>
      <c r="C307" s="151"/>
      <c r="D307" s="146" t="str">
        <f t="shared" si="26"/>
        <v/>
      </c>
      <c r="E307" s="186"/>
      <c r="F307" s="146" t="str">
        <f t="shared" si="27"/>
        <v/>
      </c>
      <c r="G307" s="185"/>
      <c r="H307" s="185"/>
      <c r="I307" s="185"/>
      <c r="J307" s="201"/>
      <c r="K307" s="200"/>
      <c r="L307" s="200"/>
      <c r="M307" s="201"/>
      <c r="N307" s="201"/>
      <c r="P307" s="141" t="str">
        <f t="shared" si="28"/>
        <v/>
      </c>
      <c r="Q307" s="141" t="str">
        <f t="shared" si="29"/>
        <v/>
      </c>
      <c r="AA307" s="141" t="s">
        <v>1843</v>
      </c>
      <c r="AB307" s="141" t="s">
        <v>1844</v>
      </c>
    </row>
    <row r="308" spans="1:28">
      <c r="A308" s="151"/>
      <c r="B308" s="146" t="str">
        <f t="shared" si="25"/>
        <v/>
      </c>
      <c r="C308" s="151"/>
      <c r="D308" s="146" t="str">
        <f t="shared" si="26"/>
        <v/>
      </c>
      <c r="E308" s="186"/>
      <c r="F308" s="146" t="str">
        <f t="shared" si="27"/>
        <v/>
      </c>
      <c r="G308" s="185"/>
      <c r="H308" s="185"/>
      <c r="I308" s="185"/>
      <c r="J308" s="201"/>
      <c r="K308" s="200"/>
      <c r="L308" s="200"/>
      <c r="M308" s="201"/>
      <c r="N308" s="201"/>
      <c r="P308" s="141" t="str">
        <f t="shared" si="28"/>
        <v/>
      </c>
      <c r="Q308" s="141" t="str">
        <f t="shared" si="29"/>
        <v/>
      </c>
      <c r="AA308" s="141" t="s">
        <v>1845</v>
      </c>
      <c r="AB308" s="141" t="s">
        <v>1846</v>
      </c>
    </row>
    <row r="309" spans="1:28">
      <c r="A309" s="151"/>
      <c r="B309" s="146" t="str">
        <f t="shared" si="25"/>
        <v/>
      </c>
      <c r="C309" s="151"/>
      <c r="D309" s="146" t="str">
        <f t="shared" si="26"/>
        <v/>
      </c>
      <c r="E309" s="186"/>
      <c r="F309" s="146" t="str">
        <f t="shared" si="27"/>
        <v/>
      </c>
      <c r="G309" s="185"/>
      <c r="H309" s="185"/>
      <c r="I309" s="185"/>
      <c r="J309" s="201"/>
      <c r="K309" s="200"/>
      <c r="L309" s="200"/>
      <c r="M309" s="201"/>
      <c r="N309" s="201"/>
      <c r="P309" s="141" t="str">
        <f t="shared" si="28"/>
        <v/>
      </c>
      <c r="Q309" s="141" t="str">
        <f t="shared" si="29"/>
        <v/>
      </c>
      <c r="AA309" s="141" t="s">
        <v>1847</v>
      </c>
      <c r="AB309" s="141" t="s">
        <v>1848</v>
      </c>
    </row>
    <row r="310" spans="1:28">
      <c r="A310" s="151"/>
      <c r="B310" s="146" t="str">
        <f t="shared" si="25"/>
        <v/>
      </c>
      <c r="C310" s="151"/>
      <c r="D310" s="146" t="str">
        <f t="shared" si="26"/>
        <v/>
      </c>
      <c r="E310" s="186"/>
      <c r="F310" s="146" t="str">
        <f t="shared" si="27"/>
        <v/>
      </c>
      <c r="G310" s="185"/>
      <c r="H310" s="185"/>
      <c r="I310" s="185"/>
      <c r="J310" s="201"/>
      <c r="K310" s="200"/>
      <c r="L310" s="200"/>
      <c r="M310" s="201"/>
      <c r="N310" s="201"/>
      <c r="P310" s="141" t="str">
        <f t="shared" si="28"/>
        <v/>
      </c>
      <c r="Q310" s="141" t="str">
        <f t="shared" si="29"/>
        <v/>
      </c>
      <c r="AA310" s="141" t="s">
        <v>1849</v>
      </c>
      <c r="AB310" s="141" t="s">
        <v>1850</v>
      </c>
    </row>
    <row r="311" spans="1:28">
      <c r="A311" s="151"/>
      <c r="B311" s="146" t="str">
        <f t="shared" si="25"/>
        <v/>
      </c>
      <c r="C311" s="151"/>
      <c r="D311" s="146" t="str">
        <f t="shared" si="26"/>
        <v/>
      </c>
      <c r="E311" s="186"/>
      <c r="F311" s="146" t="str">
        <f t="shared" si="27"/>
        <v/>
      </c>
      <c r="G311" s="185"/>
      <c r="H311" s="185"/>
      <c r="I311" s="185"/>
      <c r="J311" s="201"/>
      <c r="K311" s="200"/>
      <c r="L311" s="200"/>
      <c r="M311" s="201"/>
      <c r="N311" s="201"/>
      <c r="P311" s="141" t="str">
        <f t="shared" si="28"/>
        <v/>
      </c>
      <c r="Q311" s="141" t="str">
        <f t="shared" si="29"/>
        <v/>
      </c>
      <c r="AA311" s="141" t="s">
        <v>1851</v>
      </c>
      <c r="AB311" s="141" t="s">
        <v>1852</v>
      </c>
    </row>
    <row r="312" spans="1:28">
      <c r="A312" s="151"/>
      <c r="B312" s="146" t="str">
        <f t="shared" si="25"/>
        <v/>
      </c>
      <c r="C312" s="151"/>
      <c r="D312" s="146" t="str">
        <f t="shared" si="26"/>
        <v/>
      </c>
      <c r="E312" s="186"/>
      <c r="F312" s="146" t="str">
        <f t="shared" si="27"/>
        <v/>
      </c>
      <c r="G312" s="185"/>
      <c r="H312" s="185"/>
      <c r="I312" s="185"/>
      <c r="J312" s="201"/>
      <c r="K312" s="200"/>
      <c r="L312" s="200"/>
      <c r="M312" s="201"/>
      <c r="N312" s="201"/>
      <c r="P312" s="141" t="str">
        <f t="shared" si="28"/>
        <v/>
      </c>
      <c r="Q312" s="141" t="str">
        <f t="shared" si="29"/>
        <v/>
      </c>
      <c r="AA312" s="141" t="s">
        <v>1853</v>
      </c>
      <c r="AB312" s="141" t="s">
        <v>1854</v>
      </c>
    </row>
    <row r="313" spans="1:28">
      <c r="A313" s="151"/>
      <c r="B313" s="146" t="str">
        <f t="shared" si="25"/>
        <v/>
      </c>
      <c r="C313" s="151"/>
      <c r="D313" s="146" t="str">
        <f t="shared" si="26"/>
        <v/>
      </c>
      <c r="E313" s="186"/>
      <c r="F313" s="146" t="str">
        <f t="shared" si="27"/>
        <v/>
      </c>
      <c r="G313" s="185"/>
      <c r="H313" s="185"/>
      <c r="I313" s="185"/>
      <c r="J313" s="201"/>
      <c r="K313" s="200"/>
      <c r="L313" s="200"/>
      <c r="M313" s="201"/>
      <c r="N313" s="201"/>
      <c r="P313" s="141" t="str">
        <f t="shared" si="28"/>
        <v/>
      </c>
      <c r="Q313" s="141" t="str">
        <f t="shared" si="29"/>
        <v/>
      </c>
      <c r="AA313" s="141" t="s">
        <v>1855</v>
      </c>
      <c r="AB313" s="141" t="s">
        <v>1856</v>
      </c>
    </row>
    <row r="314" spans="1:28">
      <c r="A314" s="151"/>
      <c r="B314" s="146" t="str">
        <f t="shared" si="25"/>
        <v/>
      </c>
      <c r="C314" s="151"/>
      <c r="D314" s="146" t="str">
        <f t="shared" si="26"/>
        <v/>
      </c>
      <c r="E314" s="186"/>
      <c r="F314" s="146" t="str">
        <f t="shared" si="27"/>
        <v/>
      </c>
      <c r="G314" s="185"/>
      <c r="H314" s="185"/>
      <c r="I314" s="185"/>
      <c r="J314" s="201"/>
      <c r="K314" s="200"/>
      <c r="L314" s="200"/>
      <c r="M314" s="201"/>
      <c r="N314" s="201"/>
      <c r="P314" s="141" t="str">
        <f t="shared" si="28"/>
        <v/>
      </c>
      <c r="Q314" s="141" t="str">
        <f t="shared" si="29"/>
        <v/>
      </c>
      <c r="AA314" s="141" t="s">
        <v>1857</v>
      </c>
      <c r="AB314" s="141" t="s">
        <v>1858</v>
      </c>
    </row>
    <row r="315" spans="1:28">
      <c r="A315" s="151"/>
      <c r="B315" s="146" t="str">
        <f t="shared" si="25"/>
        <v/>
      </c>
      <c r="C315" s="151"/>
      <c r="D315" s="146" t="str">
        <f t="shared" si="26"/>
        <v/>
      </c>
      <c r="E315" s="186"/>
      <c r="F315" s="146" t="str">
        <f t="shared" si="27"/>
        <v/>
      </c>
      <c r="G315" s="185"/>
      <c r="H315" s="185"/>
      <c r="I315" s="185"/>
      <c r="J315" s="201"/>
      <c r="K315" s="200"/>
      <c r="L315" s="200"/>
      <c r="M315" s="201"/>
      <c r="N315" s="201"/>
      <c r="P315" s="141" t="str">
        <f t="shared" si="28"/>
        <v/>
      </c>
      <c r="Q315" s="141" t="str">
        <f t="shared" si="29"/>
        <v/>
      </c>
      <c r="AA315" s="141" t="s">
        <v>1859</v>
      </c>
      <c r="AB315" s="141" t="s">
        <v>1860</v>
      </c>
    </row>
    <row r="316" spans="1:28">
      <c r="A316" s="151"/>
      <c r="B316" s="146" t="str">
        <f t="shared" si="25"/>
        <v/>
      </c>
      <c r="C316" s="151"/>
      <c r="D316" s="146" t="str">
        <f t="shared" si="26"/>
        <v/>
      </c>
      <c r="E316" s="186"/>
      <c r="F316" s="146" t="str">
        <f t="shared" si="27"/>
        <v/>
      </c>
      <c r="G316" s="185"/>
      <c r="H316" s="185"/>
      <c r="I316" s="185"/>
      <c r="J316" s="201"/>
      <c r="K316" s="200"/>
      <c r="L316" s="200"/>
      <c r="M316" s="201"/>
      <c r="N316" s="201"/>
      <c r="P316" s="141" t="str">
        <f t="shared" si="28"/>
        <v/>
      </c>
      <c r="Q316" s="141" t="str">
        <f t="shared" si="29"/>
        <v/>
      </c>
      <c r="AA316" s="141" t="s">
        <v>1861</v>
      </c>
      <c r="AB316" s="141" t="s">
        <v>1862</v>
      </c>
    </row>
    <row r="317" spans="1:28">
      <c r="A317" s="151"/>
      <c r="B317" s="146" t="str">
        <f t="shared" si="25"/>
        <v/>
      </c>
      <c r="C317" s="151"/>
      <c r="D317" s="146" t="str">
        <f t="shared" si="26"/>
        <v/>
      </c>
      <c r="E317" s="186"/>
      <c r="F317" s="146" t="str">
        <f t="shared" si="27"/>
        <v/>
      </c>
      <c r="G317" s="185"/>
      <c r="H317" s="185"/>
      <c r="I317" s="185"/>
      <c r="J317" s="201"/>
      <c r="K317" s="200"/>
      <c r="L317" s="200"/>
      <c r="M317" s="201"/>
      <c r="N317" s="201"/>
      <c r="P317" s="141" t="str">
        <f t="shared" si="28"/>
        <v/>
      </c>
      <c r="Q317" s="141" t="str">
        <f t="shared" si="29"/>
        <v/>
      </c>
      <c r="AA317" s="141" t="s">
        <v>1863</v>
      </c>
      <c r="AB317" s="141" t="s">
        <v>1864</v>
      </c>
    </row>
    <row r="318" spans="1:28">
      <c r="A318" s="151"/>
      <c r="B318" s="146" t="str">
        <f t="shared" si="25"/>
        <v/>
      </c>
      <c r="C318" s="151"/>
      <c r="D318" s="146" t="str">
        <f t="shared" si="26"/>
        <v/>
      </c>
      <c r="E318" s="186"/>
      <c r="F318" s="146" t="str">
        <f t="shared" si="27"/>
        <v/>
      </c>
      <c r="G318" s="185"/>
      <c r="H318" s="185"/>
      <c r="I318" s="185"/>
      <c r="J318" s="201"/>
      <c r="K318" s="200"/>
      <c r="L318" s="200"/>
      <c r="M318" s="201"/>
      <c r="N318" s="201"/>
      <c r="P318" s="141" t="str">
        <f t="shared" si="28"/>
        <v/>
      </c>
      <c r="Q318" s="141" t="str">
        <f t="shared" si="29"/>
        <v/>
      </c>
      <c r="AA318" s="141" t="s">
        <v>1865</v>
      </c>
      <c r="AB318" s="141" t="s">
        <v>1866</v>
      </c>
    </row>
    <row r="319" spans="1:28">
      <c r="A319" s="151"/>
      <c r="B319" s="146" t="str">
        <f t="shared" si="25"/>
        <v/>
      </c>
      <c r="C319" s="151"/>
      <c r="D319" s="146" t="str">
        <f t="shared" si="26"/>
        <v/>
      </c>
      <c r="E319" s="186"/>
      <c r="F319" s="146" t="str">
        <f t="shared" si="27"/>
        <v/>
      </c>
      <c r="G319" s="185"/>
      <c r="H319" s="185"/>
      <c r="I319" s="185"/>
      <c r="J319" s="201"/>
      <c r="K319" s="200"/>
      <c r="L319" s="200"/>
      <c r="M319" s="201"/>
      <c r="N319" s="201"/>
      <c r="P319" s="141" t="str">
        <f t="shared" si="28"/>
        <v/>
      </c>
      <c r="Q319" s="141" t="str">
        <f t="shared" si="29"/>
        <v/>
      </c>
      <c r="AA319" s="141" t="s">
        <v>1867</v>
      </c>
      <c r="AB319" s="141" t="s">
        <v>1868</v>
      </c>
    </row>
    <row r="320" spans="1:28">
      <c r="A320" s="151"/>
      <c r="B320" s="146" t="str">
        <f t="shared" si="25"/>
        <v/>
      </c>
      <c r="C320" s="151"/>
      <c r="D320" s="146" t="str">
        <f t="shared" si="26"/>
        <v/>
      </c>
      <c r="E320" s="186"/>
      <c r="F320" s="146" t="str">
        <f t="shared" si="27"/>
        <v/>
      </c>
      <c r="G320" s="185"/>
      <c r="H320" s="185"/>
      <c r="I320" s="185"/>
      <c r="J320" s="201"/>
      <c r="K320" s="200"/>
      <c r="L320" s="200"/>
      <c r="M320" s="201"/>
      <c r="N320" s="201"/>
      <c r="P320" s="141" t="str">
        <f t="shared" si="28"/>
        <v/>
      </c>
      <c r="Q320" s="141" t="str">
        <f t="shared" si="29"/>
        <v/>
      </c>
      <c r="AA320" s="141" t="s">
        <v>1869</v>
      </c>
      <c r="AB320" s="141" t="s">
        <v>1870</v>
      </c>
    </row>
    <row r="321" spans="1:28">
      <c r="A321" s="151"/>
      <c r="B321" s="146" t="str">
        <f t="shared" si="25"/>
        <v/>
      </c>
      <c r="C321" s="151"/>
      <c r="D321" s="146" t="str">
        <f t="shared" si="26"/>
        <v/>
      </c>
      <c r="E321" s="186"/>
      <c r="F321" s="146" t="str">
        <f t="shared" si="27"/>
        <v/>
      </c>
      <c r="G321" s="185"/>
      <c r="H321" s="185"/>
      <c r="I321" s="185"/>
      <c r="J321" s="201"/>
      <c r="K321" s="200"/>
      <c r="L321" s="200"/>
      <c r="M321" s="201"/>
      <c r="N321" s="201"/>
      <c r="P321" s="141" t="str">
        <f t="shared" si="28"/>
        <v/>
      </c>
      <c r="Q321" s="141" t="str">
        <f t="shared" si="29"/>
        <v/>
      </c>
      <c r="AA321" s="141" t="s">
        <v>1871</v>
      </c>
      <c r="AB321" s="141" t="s">
        <v>1872</v>
      </c>
    </row>
    <row r="322" spans="1:28">
      <c r="A322" s="151"/>
      <c r="B322" s="146" t="str">
        <f t="shared" si="25"/>
        <v/>
      </c>
      <c r="C322" s="151"/>
      <c r="D322" s="146" t="str">
        <f t="shared" si="26"/>
        <v/>
      </c>
      <c r="E322" s="186"/>
      <c r="F322" s="146" t="str">
        <f t="shared" si="27"/>
        <v/>
      </c>
      <c r="G322" s="185"/>
      <c r="H322" s="185"/>
      <c r="I322" s="185"/>
      <c r="J322" s="201"/>
      <c r="K322" s="200"/>
      <c r="L322" s="200"/>
      <c r="M322" s="201"/>
      <c r="N322" s="201"/>
      <c r="P322" s="141" t="str">
        <f t="shared" si="28"/>
        <v/>
      </c>
      <c r="Q322" s="141" t="str">
        <f t="shared" si="29"/>
        <v/>
      </c>
      <c r="AA322" s="141" t="s">
        <v>1873</v>
      </c>
      <c r="AB322" s="141" t="s">
        <v>1874</v>
      </c>
    </row>
    <row r="323" spans="1:28">
      <c r="A323" s="151"/>
      <c r="B323" s="146" t="str">
        <f t="shared" si="25"/>
        <v/>
      </c>
      <c r="C323" s="151"/>
      <c r="D323" s="146" t="str">
        <f t="shared" si="26"/>
        <v/>
      </c>
      <c r="E323" s="186"/>
      <c r="F323" s="146" t="str">
        <f t="shared" si="27"/>
        <v/>
      </c>
      <c r="G323" s="185"/>
      <c r="H323" s="185"/>
      <c r="I323" s="185"/>
      <c r="J323" s="201"/>
      <c r="K323" s="200"/>
      <c r="L323" s="200"/>
      <c r="M323" s="201"/>
      <c r="N323" s="201"/>
      <c r="P323" s="141" t="str">
        <f t="shared" si="28"/>
        <v/>
      </c>
      <c r="Q323" s="141" t="str">
        <f t="shared" si="29"/>
        <v/>
      </c>
      <c r="AA323" s="141" t="s">
        <v>1875</v>
      </c>
      <c r="AB323" s="141" t="s">
        <v>1876</v>
      </c>
    </row>
    <row r="324" spans="1:28">
      <c r="A324" s="151"/>
      <c r="B324" s="146" t="str">
        <f t="shared" ref="B324:B387" si="30">IFERROR(VLOOKUP(A324,$R$6:$S$23,2,FALSE),"")</f>
        <v/>
      </c>
      <c r="C324" s="151"/>
      <c r="D324" s="146" t="str">
        <f t="shared" ref="D324:D387" si="31">IFERROR(VLOOKUP(C324,$U$5:$W$129,2,FALSE),"")</f>
        <v/>
      </c>
      <c r="E324" s="186"/>
      <c r="F324" s="146" t="str">
        <f t="shared" ref="F324:F387" si="32">IFERROR(VLOOKUP(E324,$AA$5:$AB$500,2,FALSE),"")</f>
        <v/>
      </c>
      <c r="G324" s="185"/>
      <c r="H324" s="185"/>
      <c r="I324" s="185"/>
      <c r="J324" s="201"/>
      <c r="K324" s="200"/>
      <c r="L324" s="200"/>
      <c r="M324" s="201"/>
      <c r="N324" s="201"/>
      <c r="P324" s="141" t="str">
        <f t="shared" ref="P324:P387" si="33">LEFT(C324,3)</f>
        <v/>
      </c>
      <c r="Q324" s="141" t="str">
        <f t="shared" ref="Q324:Q387" si="34">LEFT(C324,2)</f>
        <v/>
      </c>
      <c r="AA324" s="141" t="s">
        <v>1877</v>
      </c>
      <c r="AB324" s="141" t="s">
        <v>1878</v>
      </c>
    </row>
    <row r="325" spans="1:28">
      <c r="A325" s="151"/>
      <c r="B325" s="146" t="str">
        <f t="shared" si="30"/>
        <v/>
      </c>
      <c r="C325" s="151"/>
      <c r="D325" s="146" t="str">
        <f t="shared" si="31"/>
        <v/>
      </c>
      <c r="E325" s="186"/>
      <c r="F325" s="146" t="str">
        <f t="shared" si="32"/>
        <v/>
      </c>
      <c r="G325" s="185"/>
      <c r="H325" s="185"/>
      <c r="I325" s="185"/>
      <c r="J325" s="201"/>
      <c r="K325" s="200"/>
      <c r="L325" s="200"/>
      <c r="M325" s="201"/>
      <c r="N325" s="201"/>
      <c r="P325" s="141" t="str">
        <f t="shared" si="33"/>
        <v/>
      </c>
      <c r="Q325" s="141" t="str">
        <f t="shared" si="34"/>
        <v/>
      </c>
      <c r="AA325" s="141" t="s">
        <v>1879</v>
      </c>
      <c r="AB325" s="141" t="s">
        <v>1880</v>
      </c>
    </row>
    <row r="326" spans="1:28">
      <c r="A326" s="151"/>
      <c r="B326" s="146" t="str">
        <f t="shared" si="30"/>
        <v/>
      </c>
      <c r="C326" s="151"/>
      <c r="D326" s="146" t="str">
        <f t="shared" si="31"/>
        <v/>
      </c>
      <c r="E326" s="186"/>
      <c r="F326" s="146" t="str">
        <f t="shared" si="32"/>
        <v/>
      </c>
      <c r="G326" s="185"/>
      <c r="H326" s="185"/>
      <c r="I326" s="185"/>
      <c r="J326" s="201"/>
      <c r="K326" s="200"/>
      <c r="L326" s="200"/>
      <c r="M326" s="201"/>
      <c r="N326" s="201"/>
      <c r="P326" s="141" t="str">
        <f t="shared" si="33"/>
        <v/>
      </c>
      <c r="Q326" s="141" t="str">
        <f t="shared" si="34"/>
        <v/>
      </c>
      <c r="AA326" s="141" t="s">
        <v>1881</v>
      </c>
      <c r="AB326" s="141" t="s">
        <v>1882</v>
      </c>
    </row>
    <row r="327" spans="1:28">
      <c r="A327" s="151"/>
      <c r="B327" s="146" t="str">
        <f t="shared" si="30"/>
        <v/>
      </c>
      <c r="C327" s="151"/>
      <c r="D327" s="146" t="str">
        <f t="shared" si="31"/>
        <v/>
      </c>
      <c r="E327" s="186"/>
      <c r="F327" s="146" t="str">
        <f t="shared" si="32"/>
        <v/>
      </c>
      <c r="G327" s="185"/>
      <c r="H327" s="185"/>
      <c r="I327" s="185"/>
      <c r="J327" s="201"/>
      <c r="K327" s="200"/>
      <c r="L327" s="200"/>
      <c r="M327" s="201"/>
      <c r="N327" s="201"/>
      <c r="P327" s="141" t="str">
        <f t="shared" si="33"/>
        <v/>
      </c>
      <c r="Q327" s="141" t="str">
        <f t="shared" si="34"/>
        <v/>
      </c>
      <c r="AA327" s="141" t="s">
        <v>1883</v>
      </c>
      <c r="AB327" s="141" t="s">
        <v>1884</v>
      </c>
    </row>
    <row r="328" spans="1:28">
      <c r="A328" s="151"/>
      <c r="B328" s="146" t="str">
        <f t="shared" si="30"/>
        <v/>
      </c>
      <c r="C328" s="151"/>
      <c r="D328" s="146" t="str">
        <f t="shared" si="31"/>
        <v/>
      </c>
      <c r="E328" s="186"/>
      <c r="F328" s="146" t="str">
        <f t="shared" si="32"/>
        <v/>
      </c>
      <c r="G328" s="185"/>
      <c r="H328" s="185"/>
      <c r="I328" s="185"/>
      <c r="J328" s="201"/>
      <c r="K328" s="200"/>
      <c r="L328" s="200"/>
      <c r="M328" s="201"/>
      <c r="N328" s="201"/>
      <c r="P328" s="141" t="str">
        <f t="shared" si="33"/>
        <v/>
      </c>
      <c r="Q328" s="141" t="str">
        <f t="shared" si="34"/>
        <v/>
      </c>
      <c r="AA328" s="141" t="s">
        <v>1885</v>
      </c>
      <c r="AB328" s="141" t="s">
        <v>1886</v>
      </c>
    </row>
    <row r="329" spans="1:28">
      <c r="A329" s="151"/>
      <c r="B329" s="146" t="str">
        <f t="shared" si="30"/>
        <v/>
      </c>
      <c r="C329" s="151"/>
      <c r="D329" s="146" t="str">
        <f t="shared" si="31"/>
        <v/>
      </c>
      <c r="E329" s="186"/>
      <c r="F329" s="146" t="str">
        <f t="shared" si="32"/>
        <v/>
      </c>
      <c r="G329" s="185"/>
      <c r="H329" s="185"/>
      <c r="I329" s="185"/>
      <c r="J329" s="201"/>
      <c r="K329" s="200"/>
      <c r="L329" s="200"/>
      <c r="M329" s="201"/>
      <c r="N329" s="201"/>
      <c r="P329" s="141" t="str">
        <f t="shared" si="33"/>
        <v/>
      </c>
      <c r="Q329" s="141" t="str">
        <f t="shared" si="34"/>
        <v/>
      </c>
      <c r="AA329" s="141" t="s">
        <v>1887</v>
      </c>
      <c r="AB329" s="141" t="s">
        <v>1888</v>
      </c>
    </row>
    <row r="330" spans="1:28">
      <c r="A330" s="151"/>
      <c r="B330" s="146" t="str">
        <f t="shared" si="30"/>
        <v/>
      </c>
      <c r="C330" s="151"/>
      <c r="D330" s="146" t="str">
        <f t="shared" si="31"/>
        <v/>
      </c>
      <c r="E330" s="186"/>
      <c r="F330" s="146" t="str">
        <f t="shared" si="32"/>
        <v/>
      </c>
      <c r="G330" s="185"/>
      <c r="H330" s="185"/>
      <c r="I330" s="185"/>
      <c r="J330" s="201"/>
      <c r="K330" s="200"/>
      <c r="L330" s="200"/>
      <c r="M330" s="201"/>
      <c r="N330" s="201"/>
      <c r="P330" s="141" t="str">
        <f t="shared" si="33"/>
        <v/>
      </c>
      <c r="Q330" s="141" t="str">
        <f t="shared" si="34"/>
        <v/>
      </c>
      <c r="AA330" s="141" t="s">
        <v>1889</v>
      </c>
      <c r="AB330" s="141" t="s">
        <v>1890</v>
      </c>
    </row>
    <row r="331" spans="1:28">
      <c r="A331" s="151"/>
      <c r="B331" s="146" t="str">
        <f t="shared" si="30"/>
        <v/>
      </c>
      <c r="C331" s="151"/>
      <c r="D331" s="146" t="str">
        <f t="shared" si="31"/>
        <v/>
      </c>
      <c r="E331" s="186"/>
      <c r="F331" s="146" t="str">
        <f t="shared" si="32"/>
        <v/>
      </c>
      <c r="G331" s="185"/>
      <c r="H331" s="185"/>
      <c r="I331" s="185"/>
      <c r="J331" s="201"/>
      <c r="K331" s="200"/>
      <c r="L331" s="200"/>
      <c r="M331" s="201"/>
      <c r="N331" s="201"/>
      <c r="P331" s="141" t="str">
        <f t="shared" si="33"/>
        <v/>
      </c>
      <c r="Q331" s="141" t="str">
        <f t="shared" si="34"/>
        <v/>
      </c>
      <c r="AA331" s="141" t="s">
        <v>1891</v>
      </c>
      <c r="AB331" s="141" t="s">
        <v>1892</v>
      </c>
    </row>
    <row r="332" spans="1:28">
      <c r="A332" s="151"/>
      <c r="B332" s="146" t="str">
        <f t="shared" si="30"/>
        <v/>
      </c>
      <c r="C332" s="151"/>
      <c r="D332" s="146" t="str">
        <f t="shared" si="31"/>
        <v/>
      </c>
      <c r="E332" s="186"/>
      <c r="F332" s="146" t="str">
        <f t="shared" si="32"/>
        <v/>
      </c>
      <c r="G332" s="185"/>
      <c r="H332" s="185"/>
      <c r="I332" s="185"/>
      <c r="J332" s="201"/>
      <c r="K332" s="200"/>
      <c r="L332" s="200"/>
      <c r="M332" s="201"/>
      <c r="N332" s="201"/>
      <c r="P332" s="141" t="str">
        <f t="shared" si="33"/>
        <v/>
      </c>
      <c r="Q332" s="141" t="str">
        <f t="shared" si="34"/>
        <v/>
      </c>
      <c r="AA332" s="141" t="s">
        <v>1893</v>
      </c>
      <c r="AB332" s="141" t="s">
        <v>1894</v>
      </c>
    </row>
    <row r="333" spans="1:28">
      <c r="A333" s="151"/>
      <c r="B333" s="146" t="str">
        <f t="shared" si="30"/>
        <v/>
      </c>
      <c r="C333" s="151"/>
      <c r="D333" s="146" t="str">
        <f t="shared" si="31"/>
        <v/>
      </c>
      <c r="E333" s="186"/>
      <c r="F333" s="146" t="str">
        <f t="shared" si="32"/>
        <v/>
      </c>
      <c r="G333" s="185"/>
      <c r="H333" s="185"/>
      <c r="I333" s="185"/>
      <c r="J333" s="201"/>
      <c r="K333" s="200"/>
      <c r="L333" s="200"/>
      <c r="M333" s="201"/>
      <c r="N333" s="201"/>
      <c r="P333" s="141" t="str">
        <f t="shared" si="33"/>
        <v/>
      </c>
      <c r="Q333" s="141" t="str">
        <f t="shared" si="34"/>
        <v/>
      </c>
      <c r="AA333" s="141" t="s">
        <v>1895</v>
      </c>
      <c r="AB333" s="141" t="s">
        <v>1896</v>
      </c>
    </row>
    <row r="334" spans="1:28">
      <c r="A334" s="151"/>
      <c r="B334" s="146" t="str">
        <f t="shared" si="30"/>
        <v/>
      </c>
      <c r="C334" s="151"/>
      <c r="D334" s="146" t="str">
        <f t="shared" si="31"/>
        <v/>
      </c>
      <c r="E334" s="186"/>
      <c r="F334" s="146" t="str">
        <f t="shared" si="32"/>
        <v/>
      </c>
      <c r="G334" s="185"/>
      <c r="H334" s="185"/>
      <c r="I334" s="185"/>
      <c r="J334" s="201"/>
      <c r="K334" s="200"/>
      <c r="L334" s="200"/>
      <c r="M334" s="201"/>
      <c r="N334" s="201"/>
      <c r="P334" s="141" t="str">
        <f t="shared" si="33"/>
        <v/>
      </c>
      <c r="Q334" s="141" t="str">
        <f t="shared" si="34"/>
        <v/>
      </c>
      <c r="AA334" s="141" t="s">
        <v>1897</v>
      </c>
      <c r="AB334" s="141" t="s">
        <v>1898</v>
      </c>
    </row>
    <row r="335" spans="1:28">
      <c r="A335" s="151"/>
      <c r="B335" s="146" t="str">
        <f t="shared" si="30"/>
        <v/>
      </c>
      <c r="C335" s="151"/>
      <c r="D335" s="146" t="str">
        <f t="shared" si="31"/>
        <v/>
      </c>
      <c r="E335" s="186"/>
      <c r="F335" s="146" t="str">
        <f t="shared" si="32"/>
        <v/>
      </c>
      <c r="G335" s="185"/>
      <c r="H335" s="185"/>
      <c r="I335" s="185"/>
      <c r="J335" s="201"/>
      <c r="K335" s="200"/>
      <c r="L335" s="200"/>
      <c r="M335" s="201"/>
      <c r="N335" s="201"/>
      <c r="P335" s="141" t="str">
        <f t="shared" si="33"/>
        <v/>
      </c>
      <c r="Q335" s="141" t="str">
        <f t="shared" si="34"/>
        <v/>
      </c>
      <c r="AA335" s="141" t="s">
        <v>1899</v>
      </c>
      <c r="AB335" s="141" t="s">
        <v>1900</v>
      </c>
    </row>
    <row r="336" spans="1:28">
      <c r="A336" s="151"/>
      <c r="B336" s="146" t="str">
        <f t="shared" si="30"/>
        <v/>
      </c>
      <c r="C336" s="151"/>
      <c r="D336" s="146" t="str">
        <f t="shared" si="31"/>
        <v/>
      </c>
      <c r="E336" s="186"/>
      <c r="F336" s="146" t="str">
        <f t="shared" si="32"/>
        <v/>
      </c>
      <c r="G336" s="185"/>
      <c r="H336" s="185"/>
      <c r="I336" s="185"/>
      <c r="J336" s="201"/>
      <c r="K336" s="200"/>
      <c r="L336" s="200"/>
      <c r="M336" s="201"/>
      <c r="N336" s="201"/>
      <c r="P336" s="141" t="str">
        <f t="shared" si="33"/>
        <v/>
      </c>
      <c r="Q336" s="141" t="str">
        <f t="shared" si="34"/>
        <v/>
      </c>
      <c r="AA336" s="141" t="s">
        <v>1901</v>
      </c>
      <c r="AB336" s="141" t="s">
        <v>1902</v>
      </c>
    </row>
    <row r="337" spans="1:28">
      <c r="A337" s="151"/>
      <c r="B337" s="146" t="str">
        <f t="shared" si="30"/>
        <v/>
      </c>
      <c r="C337" s="151"/>
      <c r="D337" s="146" t="str">
        <f t="shared" si="31"/>
        <v/>
      </c>
      <c r="E337" s="186"/>
      <c r="F337" s="146" t="str">
        <f t="shared" si="32"/>
        <v/>
      </c>
      <c r="G337" s="185"/>
      <c r="H337" s="185"/>
      <c r="I337" s="185"/>
      <c r="J337" s="201"/>
      <c r="K337" s="200"/>
      <c r="L337" s="200"/>
      <c r="M337" s="201"/>
      <c r="N337" s="201"/>
      <c r="P337" s="141" t="str">
        <f t="shared" si="33"/>
        <v/>
      </c>
      <c r="Q337" s="141" t="str">
        <f t="shared" si="34"/>
        <v/>
      </c>
      <c r="AA337" s="141" t="s">
        <v>1903</v>
      </c>
      <c r="AB337" s="141" t="s">
        <v>1904</v>
      </c>
    </row>
    <row r="338" spans="1:28">
      <c r="A338" s="151"/>
      <c r="B338" s="146" t="str">
        <f t="shared" si="30"/>
        <v/>
      </c>
      <c r="C338" s="151"/>
      <c r="D338" s="146" t="str">
        <f t="shared" si="31"/>
        <v/>
      </c>
      <c r="E338" s="186"/>
      <c r="F338" s="146" t="str">
        <f t="shared" si="32"/>
        <v/>
      </c>
      <c r="G338" s="185"/>
      <c r="H338" s="185"/>
      <c r="I338" s="185"/>
      <c r="J338" s="201"/>
      <c r="K338" s="200"/>
      <c r="L338" s="200"/>
      <c r="M338" s="201"/>
      <c r="N338" s="201"/>
      <c r="P338" s="141" t="str">
        <f t="shared" si="33"/>
        <v/>
      </c>
      <c r="Q338" s="141" t="str">
        <f t="shared" si="34"/>
        <v/>
      </c>
      <c r="AA338" s="141" t="s">
        <v>1905</v>
      </c>
    </row>
    <row r="339" spans="1:28">
      <c r="A339" s="151"/>
      <c r="B339" s="146" t="str">
        <f t="shared" si="30"/>
        <v/>
      </c>
      <c r="C339" s="151"/>
      <c r="D339" s="146" t="str">
        <f t="shared" si="31"/>
        <v/>
      </c>
      <c r="E339" s="186"/>
      <c r="F339" s="146" t="str">
        <f t="shared" si="32"/>
        <v/>
      </c>
      <c r="G339" s="185"/>
      <c r="H339" s="185"/>
      <c r="I339" s="185"/>
      <c r="J339" s="201"/>
      <c r="K339" s="200"/>
      <c r="L339" s="200"/>
      <c r="M339" s="201"/>
      <c r="N339" s="201"/>
      <c r="P339" s="141" t="str">
        <f t="shared" si="33"/>
        <v/>
      </c>
      <c r="Q339" s="141" t="str">
        <f t="shared" si="34"/>
        <v/>
      </c>
      <c r="AA339" s="141" t="s">
        <v>1906</v>
      </c>
      <c r="AB339" s="141" t="s">
        <v>1907</v>
      </c>
    </row>
    <row r="340" spans="1:28">
      <c r="A340" s="151"/>
      <c r="B340" s="146" t="str">
        <f t="shared" si="30"/>
        <v/>
      </c>
      <c r="C340" s="151"/>
      <c r="D340" s="146" t="str">
        <f t="shared" si="31"/>
        <v/>
      </c>
      <c r="E340" s="186"/>
      <c r="F340" s="146" t="str">
        <f t="shared" si="32"/>
        <v/>
      </c>
      <c r="G340" s="185"/>
      <c r="H340" s="185"/>
      <c r="I340" s="185"/>
      <c r="J340" s="201"/>
      <c r="K340" s="200"/>
      <c r="L340" s="200"/>
      <c r="M340" s="201"/>
      <c r="N340" s="201"/>
      <c r="P340" s="141" t="str">
        <f t="shared" si="33"/>
        <v/>
      </c>
      <c r="Q340" s="141" t="str">
        <f t="shared" si="34"/>
        <v/>
      </c>
      <c r="AA340" s="141" t="s">
        <v>1908</v>
      </c>
      <c r="AB340" s="141" t="s">
        <v>1909</v>
      </c>
    </row>
    <row r="341" spans="1:28">
      <c r="A341" s="151"/>
      <c r="B341" s="146" t="str">
        <f t="shared" si="30"/>
        <v/>
      </c>
      <c r="C341" s="151"/>
      <c r="D341" s="146" t="str">
        <f t="shared" si="31"/>
        <v/>
      </c>
      <c r="E341" s="186"/>
      <c r="F341" s="146" t="str">
        <f t="shared" si="32"/>
        <v/>
      </c>
      <c r="G341" s="185"/>
      <c r="H341" s="185"/>
      <c r="I341" s="185"/>
      <c r="J341" s="201"/>
      <c r="K341" s="200"/>
      <c r="L341" s="200"/>
      <c r="M341" s="201"/>
      <c r="N341" s="201"/>
      <c r="P341" s="141" t="str">
        <f t="shared" si="33"/>
        <v/>
      </c>
      <c r="Q341" s="141" t="str">
        <f t="shared" si="34"/>
        <v/>
      </c>
      <c r="AA341" s="141" t="s">
        <v>1910</v>
      </c>
      <c r="AB341" s="141" t="s">
        <v>1911</v>
      </c>
    </row>
    <row r="342" spans="1:28">
      <c r="A342" s="151"/>
      <c r="B342" s="146" t="str">
        <f t="shared" si="30"/>
        <v/>
      </c>
      <c r="C342" s="151"/>
      <c r="D342" s="146" t="str">
        <f t="shared" si="31"/>
        <v/>
      </c>
      <c r="E342" s="186"/>
      <c r="F342" s="146" t="str">
        <f t="shared" si="32"/>
        <v/>
      </c>
      <c r="G342" s="185"/>
      <c r="H342" s="185"/>
      <c r="I342" s="185"/>
      <c r="J342" s="201"/>
      <c r="K342" s="200"/>
      <c r="L342" s="200"/>
      <c r="M342" s="201"/>
      <c r="N342" s="201"/>
      <c r="P342" s="141" t="str">
        <f t="shared" si="33"/>
        <v/>
      </c>
      <c r="Q342" s="141" t="str">
        <f t="shared" si="34"/>
        <v/>
      </c>
      <c r="AA342" s="141" t="s">
        <v>1912</v>
      </c>
      <c r="AB342" s="141" t="s">
        <v>1913</v>
      </c>
    </row>
    <row r="343" spans="1:28">
      <c r="A343" s="151"/>
      <c r="B343" s="146" t="str">
        <f t="shared" si="30"/>
        <v/>
      </c>
      <c r="C343" s="151"/>
      <c r="D343" s="146" t="str">
        <f t="shared" si="31"/>
        <v/>
      </c>
      <c r="E343" s="186"/>
      <c r="F343" s="146" t="str">
        <f t="shared" si="32"/>
        <v/>
      </c>
      <c r="G343" s="185"/>
      <c r="H343" s="185"/>
      <c r="I343" s="185"/>
      <c r="J343" s="201"/>
      <c r="K343" s="200"/>
      <c r="L343" s="200"/>
      <c r="M343" s="201"/>
      <c r="N343" s="201"/>
      <c r="P343" s="141" t="str">
        <f t="shared" si="33"/>
        <v/>
      </c>
      <c r="Q343" s="141" t="str">
        <f t="shared" si="34"/>
        <v/>
      </c>
      <c r="AA343" s="141" t="s">
        <v>1914</v>
      </c>
      <c r="AB343" s="141" t="s">
        <v>1915</v>
      </c>
    </row>
    <row r="344" spans="1:28">
      <c r="A344" s="151"/>
      <c r="B344" s="146" t="str">
        <f t="shared" si="30"/>
        <v/>
      </c>
      <c r="C344" s="151"/>
      <c r="D344" s="146" t="str">
        <f t="shared" si="31"/>
        <v/>
      </c>
      <c r="E344" s="186"/>
      <c r="F344" s="146" t="str">
        <f t="shared" si="32"/>
        <v/>
      </c>
      <c r="G344" s="185"/>
      <c r="H344" s="185"/>
      <c r="I344" s="185"/>
      <c r="J344" s="201"/>
      <c r="K344" s="200"/>
      <c r="L344" s="200"/>
      <c r="M344" s="201"/>
      <c r="N344" s="201"/>
      <c r="P344" s="141" t="str">
        <f t="shared" si="33"/>
        <v/>
      </c>
      <c r="Q344" s="141" t="str">
        <f t="shared" si="34"/>
        <v/>
      </c>
      <c r="AA344" s="141" t="s">
        <v>1916</v>
      </c>
      <c r="AB344" s="141" t="s">
        <v>1917</v>
      </c>
    </row>
    <row r="345" spans="1:28">
      <c r="A345" s="151"/>
      <c r="B345" s="146" t="str">
        <f t="shared" si="30"/>
        <v/>
      </c>
      <c r="C345" s="151"/>
      <c r="D345" s="146" t="str">
        <f t="shared" si="31"/>
        <v/>
      </c>
      <c r="E345" s="186"/>
      <c r="F345" s="146" t="str">
        <f t="shared" si="32"/>
        <v/>
      </c>
      <c r="G345" s="185"/>
      <c r="H345" s="185"/>
      <c r="I345" s="185"/>
      <c r="J345" s="201"/>
      <c r="K345" s="200"/>
      <c r="L345" s="200"/>
      <c r="M345" s="201"/>
      <c r="N345" s="201"/>
      <c r="P345" s="141" t="str">
        <f t="shared" si="33"/>
        <v/>
      </c>
      <c r="Q345" s="141" t="str">
        <f t="shared" si="34"/>
        <v/>
      </c>
      <c r="AA345" s="141" t="s">
        <v>1918</v>
      </c>
      <c r="AB345" s="141" t="s">
        <v>1919</v>
      </c>
    </row>
    <row r="346" spans="1:28">
      <c r="A346" s="151"/>
      <c r="B346" s="146" t="str">
        <f t="shared" si="30"/>
        <v/>
      </c>
      <c r="C346" s="151"/>
      <c r="D346" s="146" t="str">
        <f t="shared" si="31"/>
        <v/>
      </c>
      <c r="E346" s="186"/>
      <c r="F346" s="146" t="str">
        <f t="shared" si="32"/>
        <v/>
      </c>
      <c r="G346" s="185"/>
      <c r="H346" s="185"/>
      <c r="I346" s="185"/>
      <c r="J346" s="201"/>
      <c r="K346" s="200"/>
      <c r="L346" s="200"/>
      <c r="M346" s="201"/>
      <c r="N346" s="201"/>
      <c r="P346" s="141" t="str">
        <f t="shared" si="33"/>
        <v/>
      </c>
      <c r="Q346" s="141" t="str">
        <f t="shared" si="34"/>
        <v/>
      </c>
      <c r="AA346" s="141" t="s">
        <v>1920</v>
      </c>
      <c r="AB346" s="141" t="s">
        <v>1921</v>
      </c>
    </row>
    <row r="347" spans="1:28">
      <c r="A347" s="151"/>
      <c r="B347" s="146" t="str">
        <f t="shared" si="30"/>
        <v/>
      </c>
      <c r="C347" s="151"/>
      <c r="D347" s="146" t="str">
        <f t="shared" si="31"/>
        <v/>
      </c>
      <c r="E347" s="186"/>
      <c r="F347" s="146" t="str">
        <f t="shared" si="32"/>
        <v/>
      </c>
      <c r="G347" s="185"/>
      <c r="H347" s="185"/>
      <c r="I347" s="185"/>
      <c r="J347" s="201"/>
      <c r="K347" s="200"/>
      <c r="L347" s="200"/>
      <c r="M347" s="201"/>
      <c r="N347" s="201"/>
      <c r="P347" s="141" t="str">
        <f t="shared" si="33"/>
        <v/>
      </c>
      <c r="Q347" s="141" t="str">
        <f t="shared" si="34"/>
        <v/>
      </c>
      <c r="AA347" s="141" t="s">
        <v>1922</v>
      </c>
      <c r="AB347" s="141" t="s">
        <v>1923</v>
      </c>
    </row>
    <row r="348" spans="1:28">
      <c r="A348" s="151"/>
      <c r="B348" s="146" t="str">
        <f t="shared" si="30"/>
        <v/>
      </c>
      <c r="C348" s="151"/>
      <c r="D348" s="146" t="str">
        <f t="shared" si="31"/>
        <v/>
      </c>
      <c r="E348" s="186"/>
      <c r="F348" s="146" t="str">
        <f t="shared" si="32"/>
        <v/>
      </c>
      <c r="G348" s="185"/>
      <c r="H348" s="185"/>
      <c r="I348" s="185"/>
      <c r="J348" s="201"/>
      <c r="K348" s="200"/>
      <c r="L348" s="200"/>
      <c r="M348" s="201"/>
      <c r="N348" s="201"/>
      <c r="P348" s="141" t="str">
        <f t="shared" si="33"/>
        <v/>
      </c>
      <c r="Q348" s="141" t="str">
        <f t="shared" si="34"/>
        <v/>
      </c>
      <c r="AA348" s="141" t="s">
        <v>1924</v>
      </c>
      <c r="AB348" s="141" t="s">
        <v>1925</v>
      </c>
    </row>
    <row r="349" spans="1:28">
      <c r="A349" s="151"/>
      <c r="B349" s="146" t="str">
        <f t="shared" si="30"/>
        <v/>
      </c>
      <c r="C349" s="151"/>
      <c r="D349" s="146" t="str">
        <f t="shared" si="31"/>
        <v/>
      </c>
      <c r="E349" s="186"/>
      <c r="F349" s="146" t="str">
        <f t="shared" si="32"/>
        <v/>
      </c>
      <c r="G349" s="185"/>
      <c r="H349" s="185"/>
      <c r="I349" s="185"/>
      <c r="J349" s="201"/>
      <c r="K349" s="200"/>
      <c r="L349" s="200"/>
      <c r="M349" s="201"/>
      <c r="N349" s="201"/>
      <c r="P349" s="141" t="str">
        <f t="shared" si="33"/>
        <v/>
      </c>
      <c r="Q349" s="141" t="str">
        <f t="shared" si="34"/>
        <v/>
      </c>
      <c r="AA349" s="141" t="s">
        <v>1926</v>
      </c>
      <c r="AB349" s="141" t="s">
        <v>1927</v>
      </c>
    </row>
    <row r="350" spans="1:28">
      <c r="A350" s="151"/>
      <c r="B350" s="146" t="str">
        <f t="shared" si="30"/>
        <v/>
      </c>
      <c r="C350" s="151"/>
      <c r="D350" s="146" t="str">
        <f t="shared" si="31"/>
        <v/>
      </c>
      <c r="E350" s="186"/>
      <c r="F350" s="146" t="str">
        <f t="shared" si="32"/>
        <v/>
      </c>
      <c r="G350" s="185"/>
      <c r="H350" s="185"/>
      <c r="I350" s="185"/>
      <c r="J350" s="201"/>
      <c r="K350" s="200"/>
      <c r="L350" s="200"/>
      <c r="M350" s="201"/>
      <c r="N350" s="201"/>
      <c r="P350" s="141" t="str">
        <f t="shared" si="33"/>
        <v/>
      </c>
      <c r="Q350" s="141" t="str">
        <f t="shared" si="34"/>
        <v/>
      </c>
      <c r="AA350" s="141" t="s">
        <v>1928</v>
      </c>
      <c r="AB350" s="141" t="s">
        <v>1929</v>
      </c>
    </row>
    <row r="351" spans="1:28">
      <c r="A351" s="151"/>
      <c r="B351" s="146" t="str">
        <f t="shared" si="30"/>
        <v/>
      </c>
      <c r="C351" s="151"/>
      <c r="D351" s="146" t="str">
        <f t="shared" si="31"/>
        <v/>
      </c>
      <c r="E351" s="186"/>
      <c r="F351" s="146" t="str">
        <f t="shared" si="32"/>
        <v/>
      </c>
      <c r="G351" s="185"/>
      <c r="H351" s="185"/>
      <c r="I351" s="185"/>
      <c r="J351" s="201"/>
      <c r="K351" s="200"/>
      <c r="L351" s="200"/>
      <c r="M351" s="201"/>
      <c r="N351" s="201"/>
      <c r="P351" s="141" t="str">
        <f t="shared" si="33"/>
        <v/>
      </c>
      <c r="Q351" s="141" t="str">
        <f t="shared" si="34"/>
        <v/>
      </c>
      <c r="AA351" s="141" t="s">
        <v>1930</v>
      </c>
      <c r="AB351" s="141" t="s">
        <v>1931</v>
      </c>
    </row>
    <row r="352" spans="1:28">
      <c r="A352" s="151"/>
      <c r="B352" s="146" t="str">
        <f t="shared" si="30"/>
        <v/>
      </c>
      <c r="C352" s="151"/>
      <c r="D352" s="146" t="str">
        <f t="shared" si="31"/>
        <v/>
      </c>
      <c r="E352" s="186"/>
      <c r="F352" s="146" t="str">
        <f t="shared" si="32"/>
        <v/>
      </c>
      <c r="G352" s="185"/>
      <c r="H352" s="185"/>
      <c r="I352" s="185"/>
      <c r="J352" s="201"/>
      <c r="K352" s="200"/>
      <c r="L352" s="200"/>
      <c r="M352" s="201"/>
      <c r="N352" s="201"/>
      <c r="P352" s="141" t="str">
        <f t="shared" si="33"/>
        <v/>
      </c>
      <c r="Q352" s="141" t="str">
        <f t="shared" si="34"/>
        <v/>
      </c>
      <c r="AA352" s="141" t="s">
        <v>1932</v>
      </c>
      <c r="AB352" s="141" t="s">
        <v>1933</v>
      </c>
    </row>
    <row r="353" spans="1:28">
      <c r="A353" s="151"/>
      <c r="B353" s="146" t="str">
        <f t="shared" si="30"/>
        <v/>
      </c>
      <c r="C353" s="151"/>
      <c r="D353" s="146" t="str">
        <f t="shared" si="31"/>
        <v/>
      </c>
      <c r="E353" s="186"/>
      <c r="F353" s="146" t="str">
        <f t="shared" si="32"/>
        <v/>
      </c>
      <c r="G353" s="185"/>
      <c r="H353" s="185"/>
      <c r="I353" s="185"/>
      <c r="J353" s="201"/>
      <c r="K353" s="200"/>
      <c r="L353" s="200"/>
      <c r="M353" s="201"/>
      <c r="N353" s="201"/>
      <c r="P353" s="141" t="str">
        <f t="shared" si="33"/>
        <v/>
      </c>
      <c r="Q353" s="141" t="str">
        <f t="shared" si="34"/>
        <v/>
      </c>
      <c r="AA353" s="141" t="s">
        <v>1934</v>
      </c>
      <c r="AB353" s="141" t="s">
        <v>1935</v>
      </c>
    </row>
    <row r="354" spans="1:28">
      <c r="A354" s="151"/>
      <c r="B354" s="146" t="str">
        <f t="shared" si="30"/>
        <v/>
      </c>
      <c r="C354" s="151"/>
      <c r="D354" s="146" t="str">
        <f t="shared" si="31"/>
        <v/>
      </c>
      <c r="E354" s="186"/>
      <c r="F354" s="146" t="str">
        <f t="shared" si="32"/>
        <v/>
      </c>
      <c r="G354" s="185"/>
      <c r="H354" s="185"/>
      <c r="I354" s="185"/>
      <c r="J354" s="201"/>
      <c r="K354" s="200"/>
      <c r="L354" s="200"/>
      <c r="M354" s="201"/>
      <c r="N354" s="201"/>
      <c r="P354" s="141" t="str">
        <f t="shared" si="33"/>
        <v/>
      </c>
      <c r="Q354" s="141" t="str">
        <f t="shared" si="34"/>
        <v/>
      </c>
      <c r="AA354" s="141" t="s">
        <v>1936</v>
      </c>
      <c r="AB354" s="141" t="s">
        <v>1937</v>
      </c>
    </row>
    <row r="355" spans="1:28">
      <c r="A355" s="151"/>
      <c r="B355" s="146" t="str">
        <f t="shared" si="30"/>
        <v/>
      </c>
      <c r="C355" s="151"/>
      <c r="D355" s="146" t="str">
        <f t="shared" si="31"/>
        <v/>
      </c>
      <c r="E355" s="186"/>
      <c r="F355" s="146" t="str">
        <f t="shared" si="32"/>
        <v/>
      </c>
      <c r="G355" s="185"/>
      <c r="H355" s="185"/>
      <c r="I355" s="185"/>
      <c r="J355" s="201"/>
      <c r="K355" s="200"/>
      <c r="L355" s="200"/>
      <c r="M355" s="201"/>
      <c r="N355" s="201"/>
      <c r="P355" s="141" t="str">
        <f t="shared" si="33"/>
        <v/>
      </c>
      <c r="Q355" s="141" t="str">
        <f t="shared" si="34"/>
        <v/>
      </c>
      <c r="AA355" s="141" t="s">
        <v>1938</v>
      </c>
      <c r="AB355" s="141" t="s">
        <v>1939</v>
      </c>
    </row>
    <row r="356" spans="1:28">
      <c r="A356" s="151"/>
      <c r="B356" s="146" t="str">
        <f t="shared" si="30"/>
        <v/>
      </c>
      <c r="C356" s="151"/>
      <c r="D356" s="146" t="str">
        <f t="shared" si="31"/>
        <v/>
      </c>
      <c r="E356" s="186"/>
      <c r="F356" s="146" t="str">
        <f t="shared" si="32"/>
        <v/>
      </c>
      <c r="G356" s="185"/>
      <c r="H356" s="185"/>
      <c r="I356" s="185"/>
      <c r="J356" s="201"/>
      <c r="K356" s="200"/>
      <c r="L356" s="200"/>
      <c r="M356" s="201"/>
      <c r="N356" s="201"/>
      <c r="P356" s="141" t="str">
        <f t="shared" si="33"/>
        <v/>
      </c>
      <c r="Q356" s="141" t="str">
        <f t="shared" si="34"/>
        <v/>
      </c>
      <c r="AA356" s="141" t="s">
        <v>1940</v>
      </c>
      <c r="AB356" s="141" t="s">
        <v>1941</v>
      </c>
    </row>
    <row r="357" spans="1:28">
      <c r="A357" s="151"/>
      <c r="B357" s="146" t="str">
        <f t="shared" si="30"/>
        <v/>
      </c>
      <c r="C357" s="151"/>
      <c r="D357" s="146" t="str">
        <f t="shared" si="31"/>
        <v/>
      </c>
      <c r="E357" s="186"/>
      <c r="F357" s="146" t="str">
        <f t="shared" si="32"/>
        <v/>
      </c>
      <c r="G357" s="185"/>
      <c r="H357" s="185"/>
      <c r="I357" s="185"/>
      <c r="J357" s="201"/>
      <c r="K357" s="200"/>
      <c r="L357" s="200"/>
      <c r="M357" s="201"/>
      <c r="N357" s="201"/>
      <c r="P357" s="141" t="str">
        <f t="shared" si="33"/>
        <v/>
      </c>
      <c r="Q357" s="141" t="str">
        <f t="shared" si="34"/>
        <v/>
      </c>
      <c r="AA357" s="141" t="s">
        <v>1942</v>
      </c>
      <c r="AB357" s="141" t="s">
        <v>1943</v>
      </c>
    </row>
    <row r="358" spans="1:28">
      <c r="A358" s="151"/>
      <c r="B358" s="146" t="str">
        <f t="shared" si="30"/>
        <v/>
      </c>
      <c r="C358" s="151"/>
      <c r="D358" s="146" t="str">
        <f t="shared" si="31"/>
        <v/>
      </c>
      <c r="E358" s="186"/>
      <c r="F358" s="146" t="str">
        <f t="shared" si="32"/>
        <v/>
      </c>
      <c r="G358" s="185"/>
      <c r="H358" s="185"/>
      <c r="I358" s="185"/>
      <c r="J358" s="201"/>
      <c r="K358" s="200"/>
      <c r="L358" s="200"/>
      <c r="M358" s="201"/>
      <c r="N358" s="201"/>
      <c r="P358" s="141" t="str">
        <f t="shared" si="33"/>
        <v/>
      </c>
      <c r="Q358" s="141" t="str">
        <f t="shared" si="34"/>
        <v/>
      </c>
      <c r="AA358" s="141" t="s">
        <v>1944</v>
      </c>
      <c r="AB358" s="141" t="s">
        <v>1945</v>
      </c>
    </row>
    <row r="359" spans="1:28">
      <c r="A359" s="151"/>
      <c r="B359" s="146" t="str">
        <f t="shared" si="30"/>
        <v/>
      </c>
      <c r="C359" s="151"/>
      <c r="D359" s="146" t="str">
        <f t="shared" si="31"/>
        <v/>
      </c>
      <c r="E359" s="186"/>
      <c r="F359" s="146" t="str">
        <f t="shared" si="32"/>
        <v/>
      </c>
      <c r="G359" s="185"/>
      <c r="H359" s="185"/>
      <c r="I359" s="185"/>
      <c r="J359" s="201"/>
      <c r="K359" s="200"/>
      <c r="L359" s="200"/>
      <c r="M359" s="201"/>
      <c r="N359" s="201"/>
      <c r="P359" s="141" t="str">
        <f t="shared" si="33"/>
        <v/>
      </c>
      <c r="Q359" s="141" t="str">
        <f t="shared" si="34"/>
        <v/>
      </c>
      <c r="AA359" s="141" t="s">
        <v>1946</v>
      </c>
      <c r="AB359" s="141" t="s">
        <v>1947</v>
      </c>
    </row>
    <row r="360" spans="1:28">
      <c r="A360" s="151"/>
      <c r="B360" s="146" t="str">
        <f t="shared" si="30"/>
        <v/>
      </c>
      <c r="C360" s="151"/>
      <c r="D360" s="146" t="str">
        <f t="shared" si="31"/>
        <v/>
      </c>
      <c r="E360" s="186"/>
      <c r="F360" s="146" t="str">
        <f t="shared" si="32"/>
        <v/>
      </c>
      <c r="G360" s="185"/>
      <c r="H360" s="185"/>
      <c r="I360" s="185"/>
      <c r="J360" s="201"/>
      <c r="K360" s="200"/>
      <c r="L360" s="200"/>
      <c r="M360" s="201"/>
      <c r="N360" s="201"/>
      <c r="P360" s="141" t="str">
        <f t="shared" si="33"/>
        <v/>
      </c>
      <c r="Q360" s="141" t="str">
        <f t="shared" si="34"/>
        <v/>
      </c>
      <c r="AA360" s="141" t="s">
        <v>1948</v>
      </c>
      <c r="AB360" s="141" t="s">
        <v>1949</v>
      </c>
    </row>
    <row r="361" spans="1:28">
      <c r="A361" s="151"/>
      <c r="B361" s="146" t="str">
        <f t="shared" si="30"/>
        <v/>
      </c>
      <c r="C361" s="151"/>
      <c r="D361" s="146" t="str">
        <f t="shared" si="31"/>
        <v/>
      </c>
      <c r="E361" s="186"/>
      <c r="F361" s="146" t="str">
        <f t="shared" si="32"/>
        <v/>
      </c>
      <c r="G361" s="185"/>
      <c r="H361" s="185"/>
      <c r="I361" s="185"/>
      <c r="J361" s="201"/>
      <c r="K361" s="200"/>
      <c r="L361" s="200"/>
      <c r="M361" s="201"/>
      <c r="N361" s="201"/>
      <c r="P361" s="141" t="str">
        <f t="shared" si="33"/>
        <v/>
      </c>
      <c r="Q361" s="141" t="str">
        <f t="shared" si="34"/>
        <v/>
      </c>
      <c r="AA361" s="141" t="s">
        <v>1950</v>
      </c>
      <c r="AB361" s="141" t="s">
        <v>1951</v>
      </c>
    </row>
    <row r="362" spans="1:28">
      <c r="A362" s="151"/>
      <c r="B362" s="146" t="str">
        <f t="shared" si="30"/>
        <v/>
      </c>
      <c r="C362" s="151"/>
      <c r="D362" s="146" t="str">
        <f t="shared" si="31"/>
        <v/>
      </c>
      <c r="E362" s="186"/>
      <c r="F362" s="146" t="str">
        <f t="shared" si="32"/>
        <v/>
      </c>
      <c r="G362" s="185"/>
      <c r="H362" s="185"/>
      <c r="I362" s="185"/>
      <c r="J362" s="201"/>
      <c r="K362" s="200"/>
      <c r="L362" s="200"/>
      <c r="M362" s="201"/>
      <c r="N362" s="201"/>
      <c r="P362" s="141" t="str">
        <f t="shared" si="33"/>
        <v/>
      </c>
      <c r="Q362" s="141" t="str">
        <f t="shared" si="34"/>
        <v/>
      </c>
      <c r="AA362" s="141" t="s">
        <v>1952</v>
      </c>
      <c r="AB362" s="141" t="s">
        <v>1953</v>
      </c>
    </row>
    <row r="363" spans="1:28">
      <c r="A363" s="151"/>
      <c r="B363" s="146" t="str">
        <f t="shared" si="30"/>
        <v/>
      </c>
      <c r="C363" s="151"/>
      <c r="D363" s="146" t="str">
        <f t="shared" si="31"/>
        <v/>
      </c>
      <c r="E363" s="186"/>
      <c r="F363" s="146" t="str">
        <f t="shared" si="32"/>
        <v/>
      </c>
      <c r="G363" s="185"/>
      <c r="H363" s="185"/>
      <c r="I363" s="185"/>
      <c r="J363" s="201"/>
      <c r="K363" s="200"/>
      <c r="L363" s="200"/>
      <c r="M363" s="201"/>
      <c r="N363" s="201"/>
      <c r="P363" s="141" t="str">
        <f t="shared" si="33"/>
        <v/>
      </c>
      <c r="Q363" s="141" t="str">
        <f t="shared" si="34"/>
        <v/>
      </c>
      <c r="AA363" s="141" t="s">
        <v>1954</v>
      </c>
      <c r="AB363" s="141" t="s">
        <v>1955</v>
      </c>
    </row>
    <row r="364" spans="1:28">
      <c r="A364" s="151"/>
      <c r="B364" s="146" t="str">
        <f t="shared" si="30"/>
        <v/>
      </c>
      <c r="C364" s="151"/>
      <c r="D364" s="146" t="str">
        <f t="shared" si="31"/>
        <v/>
      </c>
      <c r="E364" s="186"/>
      <c r="F364" s="146" t="str">
        <f t="shared" si="32"/>
        <v/>
      </c>
      <c r="G364" s="185"/>
      <c r="H364" s="185"/>
      <c r="I364" s="185"/>
      <c r="J364" s="201"/>
      <c r="K364" s="200"/>
      <c r="L364" s="200"/>
      <c r="M364" s="201"/>
      <c r="N364" s="201"/>
      <c r="P364" s="141" t="str">
        <f t="shared" si="33"/>
        <v/>
      </c>
      <c r="Q364" s="141" t="str">
        <f t="shared" si="34"/>
        <v/>
      </c>
      <c r="AA364" s="141" t="s">
        <v>1956</v>
      </c>
      <c r="AB364" s="141" t="s">
        <v>1957</v>
      </c>
    </row>
    <row r="365" spans="1:28">
      <c r="A365" s="151"/>
      <c r="B365" s="146" t="str">
        <f t="shared" si="30"/>
        <v/>
      </c>
      <c r="C365" s="151"/>
      <c r="D365" s="146" t="str">
        <f t="shared" si="31"/>
        <v/>
      </c>
      <c r="E365" s="186"/>
      <c r="F365" s="146" t="str">
        <f t="shared" si="32"/>
        <v/>
      </c>
      <c r="G365" s="185"/>
      <c r="H365" s="185"/>
      <c r="I365" s="185"/>
      <c r="J365" s="201"/>
      <c r="K365" s="200"/>
      <c r="L365" s="200"/>
      <c r="M365" s="201"/>
      <c r="N365" s="201"/>
      <c r="P365" s="141" t="str">
        <f t="shared" si="33"/>
        <v/>
      </c>
      <c r="Q365" s="141" t="str">
        <f t="shared" si="34"/>
        <v/>
      </c>
      <c r="AA365" s="141" t="s">
        <v>1958</v>
      </c>
      <c r="AB365" s="141" t="s">
        <v>1959</v>
      </c>
    </row>
    <row r="366" spans="1:28">
      <c r="A366" s="151"/>
      <c r="B366" s="146" t="str">
        <f t="shared" si="30"/>
        <v/>
      </c>
      <c r="C366" s="151"/>
      <c r="D366" s="146" t="str">
        <f t="shared" si="31"/>
        <v/>
      </c>
      <c r="E366" s="186"/>
      <c r="F366" s="146" t="str">
        <f t="shared" si="32"/>
        <v/>
      </c>
      <c r="G366" s="185"/>
      <c r="H366" s="185"/>
      <c r="I366" s="185"/>
      <c r="J366" s="201"/>
      <c r="K366" s="200"/>
      <c r="L366" s="200"/>
      <c r="M366" s="201"/>
      <c r="N366" s="201"/>
      <c r="P366" s="141" t="str">
        <f t="shared" si="33"/>
        <v/>
      </c>
      <c r="Q366" s="141" t="str">
        <f t="shared" si="34"/>
        <v/>
      </c>
      <c r="AA366" s="141" t="s">
        <v>1960</v>
      </c>
      <c r="AB366" s="141" t="s">
        <v>1961</v>
      </c>
    </row>
    <row r="367" spans="1:28">
      <c r="A367" s="151"/>
      <c r="B367" s="146" t="str">
        <f t="shared" si="30"/>
        <v/>
      </c>
      <c r="C367" s="151"/>
      <c r="D367" s="146" t="str">
        <f t="shared" si="31"/>
        <v/>
      </c>
      <c r="E367" s="186"/>
      <c r="F367" s="146" t="str">
        <f t="shared" si="32"/>
        <v/>
      </c>
      <c r="G367" s="185"/>
      <c r="H367" s="185"/>
      <c r="I367" s="185"/>
      <c r="J367" s="201"/>
      <c r="K367" s="200"/>
      <c r="L367" s="200"/>
      <c r="M367" s="201"/>
      <c r="N367" s="201"/>
      <c r="P367" s="141" t="str">
        <f t="shared" si="33"/>
        <v/>
      </c>
      <c r="Q367" s="141" t="str">
        <f t="shared" si="34"/>
        <v/>
      </c>
      <c r="AA367" s="141" t="s">
        <v>1962</v>
      </c>
      <c r="AB367" s="141" t="s">
        <v>1963</v>
      </c>
    </row>
    <row r="368" spans="1:28">
      <c r="A368" s="151"/>
      <c r="B368" s="146" t="str">
        <f t="shared" si="30"/>
        <v/>
      </c>
      <c r="C368" s="151"/>
      <c r="D368" s="146" t="str">
        <f t="shared" si="31"/>
        <v/>
      </c>
      <c r="E368" s="186"/>
      <c r="F368" s="146" t="str">
        <f t="shared" si="32"/>
        <v/>
      </c>
      <c r="G368" s="185"/>
      <c r="H368" s="185"/>
      <c r="I368" s="185"/>
      <c r="J368" s="201"/>
      <c r="K368" s="200"/>
      <c r="L368" s="200"/>
      <c r="M368" s="201"/>
      <c r="N368" s="201"/>
      <c r="P368" s="141" t="str">
        <f t="shared" si="33"/>
        <v/>
      </c>
      <c r="Q368" s="141" t="str">
        <f t="shared" si="34"/>
        <v/>
      </c>
      <c r="AA368" s="141" t="s">
        <v>1964</v>
      </c>
      <c r="AB368" s="141" t="s">
        <v>1965</v>
      </c>
    </row>
    <row r="369" spans="1:28">
      <c r="A369" s="151"/>
      <c r="B369" s="146" t="str">
        <f t="shared" si="30"/>
        <v/>
      </c>
      <c r="C369" s="151"/>
      <c r="D369" s="146" t="str">
        <f t="shared" si="31"/>
        <v/>
      </c>
      <c r="E369" s="186"/>
      <c r="F369" s="146" t="str">
        <f t="shared" si="32"/>
        <v/>
      </c>
      <c r="G369" s="185"/>
      <c r="H369" s="185"/>
      <c r="I369" s="185"/>
      <c r="J369" s="201"/>
      <c r="K369" s="200"/>
      <c r="L369" s="200"/>
      <c r="M369" s="201"/>
      <c r="N369" s="201"/>
      <c r="P369" s="141" t="str">
        <f t="shared" si="33"/>
        <v/>
      </c>
      <c r="Q369" s="141" t="str">
        <f t="shared" si="34"/>
        <v/>
      </c>
      <c r="AA369" s="141" t="s">
        <v>1100</v>
      </c>
      <c r="AB369" s="141" t="s">
        <v>1101</v>
      </c>
    </row>
    <row r="370" spans="1:28">
      <c r="A370" s="151"/>
      <c r="B370" s="146" t="str">
        <f t="shared" si="30"/>
        <v/>
      </c>
      <c r="C370" s="151"/>
      <c r="D370" s="146" t="str">
        <f t="shared" si="31"/>
        <v/>
      </c>
      <c r="E370" s="186"/>
      <c r="F370" s="146" t="str">
        <f t="shared" si="32"/>
        <v/>
      </c>
      <c r="G370" s="185"/>
      <c r="H370" s="185"/>
      <c r="I370" s="185"/>
      <c r="J370" s="201"/>
      <c r="K370" s="200"/>
      <c r="L370" s="200"/>
      <c r="M370" s="201"/>
      <c r="N370" s="201"/>
      <c r="P370" s="141" t="str">
        <f t="shared" si="33"/>
        <v/>
      </c>
      <c r="Q370" s="141" t="str">
        <f t="shared" si="34"/>
        <v/>
      </c>
      <c r="AA370" s="141" t="s">
        <v>1102</v>
      </c>
      <c r="AB370" s="141" t="s">
        <v>1103</v>
      </c>
    </row>
    <row r="371" spans="1:28">
      <c r="A371" s="151"/>
      <c r="B371" s="146" t="str">
        <f t="shared" si="30"/>
        <v/>
      </c>
      <c r="C371" s="151"/>
      <c r="D371" s="146" t="str">
        <f t="shared" si="31"/>
        <v/>
      </c>
      <c r="E371" s="186"/>
      <c r="F371" s="146" t="str">
        <f t="shared" si="32"/>
        <v/>
      </c>
      <c r="G371" s="185"/>
      <c r="H371" s="185"/>
      <c r="I371" s="185"/>
      <c r="J371" s="201"/>
      <c r="K371" s="200"/>
      <c r="L371" s="200"/>
      <c r="M371" s="201"/>
      <c r="N371" s="201"/>
      <c r="P371" s="141" t="str">
        <f t="shared" si="33"/>
        <v/>
      </c>
      <c r="Q371" s="141" t="str">
        <f t="shared" si="34"/>
        <v/>
      </c>
      <c r="AA371" s="141" t="s">
        <v>1104</v>
      </c>
      <c r="AB371" s="141" t="s">
        <v>1105</v>
      </c>
    </row>
    <row r="372" spans="1:28">
      <c r="A372" s="151"/>
      <c r="B372" s="146" t="str">
        <f t="shared" si="30"/>
        <v/>
      </c>
      <c r="C372" s="151"/>
      <c r="D372" s="146" t="str">
        <f t="shared" si="31"/>
        <v/>
      </c>
      <c r="E372" s="186"/>
      <c r="F372" s="146" t="str">
        <f t="shared" si="32"/>
        <v/>
      </c>
      <c r="G372" s="185"/>
      <c r="H372" s="185"/>
      <c r="I372" s="185"/>
      <c r="J372" s="201"/>
      <c r="K372" s="200"/>
      <c r="L372" s="200"/>
      <c r="M372" s="201"/>
      <c r="N372" s="201"/>
      <c r="P372" s="141" t="str">
        <f t="shared" si="33"/>
        <v/>
      </c>
      <c r="Q372" s="141" t="str">
        <f t="shared" si="34"/>
        <v/>
      </c>
      <c r="AA372" s="141" t="s">
        <v>1106</v>
      </c>
      <c r="AB372" s="141" t="s">
        <v>1107</v>
      </c>
    </row>
    <row r="373" spans="1:28">
      <c r="A373" s="151"/>
      <c r="B373" s="146" t="str">
        <f t="shared" si="30"/>
        <v/>
      </c>
      <c r="C373" s="151"/>
      <c r="D373" s="146" t="str">
        <f t="shared" si="31"/>
        <v/>
      </c>
      <c r="E373" s="186"/>
      <c r="F373" s="146" t="str">
        <f t="shared" si="32"/>
        <v/>
      </c>
      <c r="G373" s="185"/>
      <c r="H373" s="185"/>
      <c r="I373" s="185"/>
      <c r="J373" s="201"/>
      <c r="K373" s="200"/>
      <c r="L373" s="200"/>
      <c r="M373" s="201"/>
      <c r="N373" s="201"/>
      <c r="P373" s="141" t="str">
        <f t="shared" si="33"/>
        <v/>
      </c>
      <c r="Q373" s="141" t="str">
        <f t="shared" si="34"/>
        <v/>
      </c>
      <c r="AA373" s="141" t="s">
        <v>1966</v>
      </c>
      <c r="AB373" s="141" t="s">
        <v>1967</v>
      </c>
    </row>
    <row r="374" spans="1:28">
      <c r="A374" s="151"/>
      <c r="B374" s="146" t="str">
        <f t="shared" si="30"/>
        <v/>
      </c>
      <c r="C374" s="151"/>
      <c r="D374" s="146" t="str">
        <f t="shared" si="31"/>
        <v/>
      </c>
      <c r="E374" s="186"/>
      <c r="F374" s="146" t="str">
        <f t="shared" si="32"/>
        <v/>
      </c>
      <c r="G374" s="185"/>
      <c r="H374" s="185"/>
      <c r="I374" s="185"/>
      <c r="J374" s="201"/>
      <c r="K374" s="200"/>
      <c r="L374" s="200"/>
      <c r="M374" s="201"/>
      <c r="N374" s="201"/>
      <c r="P374" s="141" t="str">
        <f t="shared" si="33"/>
        <v/>
      </c>
      <c r="Q374" s="141" t="str">
        <f t="shared" si="34"/>
        <v/>
      </c>
      <c r="AA374" s="141" t="s">
        <v>1968</v>
      </c>
      <c r="AB374" s="141" t="s">
        <v>1969</v>
      </c>
    </row>
    <row r="375" spans="1:28">
      <c r="A375" s="151"/>
      <c r="B375" s="146" t="str">
        <f t="shared" si="30"/>
        <v/>
      </c>
      <c r="C375" s="151"/>
      <c r="D375" s="146" t="str">
        <f t="shared" si="31"/>
        <v/>
      </c>
      <c r="E375" s="186"/>
      <c r="F375" s="146" t="str">
        <f t="shared" si="32"/>
        <v/>
      </c>
      <c r="G375" s="185"/>
      <c r="H375" s="185"/>
      <c r="I375" s="185"/>
      <c r="J375" s="201"/>
      <c r="K375" s="200"/>
      <c r="L375" s="200"/>
      <c r="M375" s="201"/>
      <c r="N375" s="201"/>
      <c r="P375" s="141" t="str">
        <f t="shared" si="33"/>
        <v/>
      </c>
      <c r="Q375" s="141" t="str">
        <f t="shared" si="34"/>
        <v/>
      </c>
      <c r="AA375" s="141" t="s">
        <v>1108</v>
      </c>
      <c r="AB375" s="141" t="s">
        <v>347</v>
      </c>
    </row>
    <row r="376" spans="1:28">
      <c r="A376" s="151"/>
      <c r="B376" s="146" t="str">
        <f t="shared" si="30"/>
        <v/>
      </c>
      <c r="C376" s="151"/>
      <c r="D376" s="146" t="str">
        <f t="shared" si="31"/>
        <v/>
      </c>
      <c r="E376" s="186"/>
      <c r="F376" s="146" t="str">
        <f t="shared" si="32"/>
        <v/>
      </c>
      <c r="G376" s="185"/>
      <c r="H376" s="185"/>
      <c r="I376" s="185"/>
      <c r="J376" s="201"/>
      <c r="K376" s="200"/>
      <c r="L376" s="200"/>
      <c r="M376" s="201"/>
      <c r="N376" s="201"/>
      <c r="P376" s="141" t="str">
        <f t="shared" si="33"/>
        <v/>
      </c>
      <c r="Q376" s="141" t="str">
        <f t="shared" si="34"/>
        <v/>
      </c>
      <c r="AA376" s="141" t="s">
        <v>1109</v>
      </c>
      <c r="AB376" s="141" t="s">
        <v>348</v>
      </c>
    </row>
    <row r="377" spans="1:28">
      <c r="A377" s="151"/>
      <c r="B377" s="146" t="str">
        <f t="shared" si="30"/>
        <v/>
      </c>
      <c r="C377" s="151"/>
      <c r="D377" s="146" t="str">
        <f t="shared" si="31"/>
        <v/>
      </c>
      <c r="E377" s="186"/>
      <c r="F377" s="146" t="str">
        <f t="shared" si="32"/>
        <v/>
      </c>
      <c r="G377" s="185"/>
      <c r="H377" s="185"/>
      <c r="I377" s="185"/>
      <c r="J377" s="201"/>
      <c r="K377" s="200"/>
      <c r="L377" s="200"/>
      <c r="M377" s="201"/>
      <c r="N377" s="201"/>
      <c r="P377" s="141" t="str">
        <f t="shared" si="33"/>
        <v/>
      </c>
      <c r="Q377" s="141" t="str">
        <f t="shared" si="34"/>
        <v/>
      </c>
      <c r="AA377" s="141" t="s">
        <v>1110</v>
      </c>
      <c r="AB377" s="141" t="s">
        <v>1111</v>
      </c>
    </row>
    <row r="378" spans="1:28">
      <c r="A378" s="151"/>
      <c r="B378" s="146" t="str">
        <f t="shared" si="30"/>
        <v/>
      </c>
      <c r="C378" s="151"/>
      <c r="D378" s="146" t="str">
        <f t="shared" si="31"/>
        <v/>
      </c>
      <c r="E378" s="186"/>
      <c r="F378" s="146" t="str">
        <f t="shared" si="32"/>
        <v/>
      </c>
      <c r="G378" s="185"/>
      <c r="H378" s="185"/>
      <c r="I378" s="185"/>
      <c r="J378" s="201"/>
      <c r="K378" s="200"/>
      <c r="L378" s="200"/>
      <c r="M378" s="201"/>
      <c r="N378" s="201"/>
      <c r="P378" s="141" t="str">
        <f t="shared" si="33"/>
        <v/>
      </c>
      <c r="Q378" s="141" t="str">
        <f t="shared" si="34"/>
        <v/>
      </c>
      <c r="AA378" s="141" t="s">
        <v>1112</v>
      </c>
      <c r="AB378" s="141" t="s">
        <v>1113</v>
      </c>
    </row>
    <row r="379" spans="1:28">
      <c r="A379" s="151"/>
      <c r="B379" s="146" t="str">
        <f t="shared" si="30"/>
        <v/>
      </c>
      <c r="C379" s="151"/>
      <c r="D379" s="146" t="str">
        <f t="shared" si="31"/>
        <v/>
      </c>
      <c r="E379" s="186"/>
      <c r="F379" s="146" t="str">
        <f t="shared" si="32"/>
        <v/>
      </c>
      <c r="G379" s="185"/>
      <c r="H379" s="185"/>
      <c r="I379" s="185"/>
      <c r="J379" s="201"/>
      <c r="K379" s="200"/>
      <c r="L379" s="200"/>
      <c r="M379" s="201"/>
      <c r="N379" s="201"/>
      <c r="P379" s="141" t="str">
        <f t="shared" si="33"/>
        <v/>
      </c>
      <c r="Q379" s="141" t="str">
        <f t="shared" si="34"/>
        <v/>
      </c>
      <c r="AA379" s="141" t="s">
        <v>1970</v>
      </c>
      <c r="AB379" s="141" t="s">
        <v>1495</v>
      </c>
    </row>
    <row r="380" spans="1:28">
      <c r="A380" s="151"/>
      <c r="B380" s="146" t="str">
        <f t="shared" si="30"/>
        <v/>
      </c>
      <c r="C380" s="151"/>
      <c r="D380" s="146" t="str">
        <f t="shared" si="31"/>
        <v/>
      </c>
      <c r="E380" s="186"/>
      <c r="F380" s="146" t="str">
        <f t="shared" si="32"/>
        <v/>
      </c>
      <c r="G380" s="185"/>
      <c r="H380" s="185"/>
      <c r="I380" s="185"/>
      <c r="J380" s="201"/>
      <c r="K380" s="200"/>
      <c r="L380" s="200"/>
      <c r="M380" s="201"/>
      <c r="N380" s="201"/>
      <c r="P380" s="141" t="str">
        <f t="shared" si="33"/>
        <v/>
      </c>
      <c r="Q380" s="141" t="str">
        <f t="shared" si="34"/>
        <v/>
      </c>
      <c r="AA380" s="141" t="s">
        <v>1114</v>
      </c>
      <c r="AB380" s="141" t="s">
        <v>1115</v>
      </c>
    </row>
    <row r="381" spans="1:28">
      <c r="A381" s="151"/>
      <c r="B381" s="146" t="str">
        <f t="shared" si="30"/>
        <v/>
      </c>
      <c r="C381" s="151"/>
      <c r="D381" s="146" t="str">
        <f t="shared" si="31"/>
        <v/>
      </c>
      <c r="E381" s="186"/>
      <c r="F381" s="146" t="str">
        <f t="shared" si="32"/>
        <v/>
      </c>
      <c r="G381" s="185"/>
      <c r="H381" s="185"/>
      <c r="I381" s="185"/>
      <c r="J381" s="201"/>
      <c r="K381" s="200"/>
      <c r="L381" s="200"/>
      <c r="M381" s="201"/>
      <c r="N381" s="201"/>
      <c r="P381" s="141" t="str">
        <f t="shared" si="33"/>
        <v/>
      </c>
      <c r="Q381" s="141" t="str">
        <f t="shared" si="34"/>
        <v/>
      </c>
      <c r="AA381" s="141" t="s">
        <v>1116</v>
      </c>
      <c r="AB381" s="141" t="s">
        <v>1117</v>
      </c>
    </row>
    <row r="382" spans="1:28">
      <c r="A382" s="151"/>
      <c r="B382" s="146" t="str">
        <f t="shared" si="30"/>
        <v/>
      </c>
      <c r="C382" s="151"/>
      <c r="D382" s="146" t="str">
        <f t="shared" si="31"/>
        <v/>
      </c>
      <c r="E382" s="186"/>
      <c r="F382" s="146" t="str">
        <f t="shared" si="32"/>
        <v/>
      </c>
      <c r="G382" s="185"/>
      <c r="H382" s="185"/>
      <c r="I382" s="185"/>
      <c r="J382" s="201"/>
      <c r="K382" s="200"/>
      <c r="L382" s="200"/>
      <c r="M382" s="201"/>
      <c r="N382" s="201"/>
      <c r="P382" s="141" t="str">
        <f t="shared" si="33"/>
        <v/>
      </c>
      <c r="Q382" s="141" t="str">
        <f t="shared" si="34"/>
        <v/>
      </c>
      <c r="AA382" s="141" t="s">
        <v>1118</v>
      </c>
      <c r="AB382" s="141" t="s">
        <v>1119</v>
      </c>
    </row>
    <row r="383" spans="1:28">
      <c r="A383" s="151"/>
      <c r="B383" s="146" t="str">
        <f t="shared" si="30"/>
        <v/>
      </c>
      <c r="C383" s="151"/>
      <c r="D383" s="146" t="str">
        <f t="shared" si="31"/>
        <v/>
      </c>
      <c r="E383" s="186"/>
      <c r="F383" s="146" t="str">
        <f t="shared" si="32"/>
        <v/>
      </c>
      <c r="G383" s="185"/>
      <c r="H383" s="185"/>
      <c r="I383" s="185"/>
      <c r="J383" s="201"/>
      <c r="K383" s="200"/>
      <c r="L383" s="200"/>
      <c r="M383" s="201"/>
      <c r="N383" s="201"/>
      <c r="P383" s="141" t="str">
        <f t="shared" si="33"/>
        <v/>
      </c>
      <c r="Q383" s="141" t="str">
        <f t="shared" si="34"/>
        <v/>
      </c>
      <c r="AA383" s="141" t="s">
        <v>1120</v>
      </c>
      <c r="AB383" s="141" t="s">
        <v>1121</v>
      </c>
    </row>
    <row r="384" spans="1:28">
      <c r="A384" s="151"/>
      <c r="B384" s="146" t="str">
        <f t="shared" si="30"/>
        <v/>
      </c>
      <c r="C384" s="151"/>
      <c r="D384" s="146" t="str">
        <f t="shared" si="31"/>
        <v/>
      </c>
      <c r="E384" s="186"/>
      <c r="F384" s="146" t="str">
        <f t="shared" si="32"/>
        <v/>
      </c>
      <c r="G384" s="185"/>
      <c r="H384" s="185"/>
      <c r="I384" s="185"/>
      <c r="J384" s="201"/>
      <c r="K384" s="200"/>
      <c r="L384" s="200"/>
      <c r="M384" s="201"/>
      <c r="N384" s="201"/>
      <c r="P384" s="141" t="str">
        <f t="shared" si="33"/>
        <v/>
      </c>
      <c r="Q384" s="141" t="str">
        <f t="shared" si="34"/>
        <v/>
      </c>
      <c r="AA384" s="141" t="s">
        <v>1122</v>
      </c>
      <c r="AB384" s="141" t="s">
        <v>1123</v>
      </c>
    </row>
    <row r="385" spans="1:28">
      <c r="A385" s="151"/>
      <c r="B385" s="146" t="str">
        <f t="shared" si="30"/>
        <v/>
      </c>
      <c r="C385" s="151"/>
      <c r="D385" s="146" t="str">
        <f t="shared" si="31"/>
        <v/>
      </c>
      <c r="E385" s="186"/>
      <c r="F385" s="146" t="str">
        <f t="shared" si="32"/>
        <v/>
      </c>
      <c r="G385" s="185"/>
      <c r="H385" s="185"/>
      <c r="I385" s="185"/>
      <c r="J385" s="201"/>
      <c r="K385" s="200"/>
      <c r="L385" s="200"/>
      <c r="M385" s="201"/>
      <c r="N385" s="201"/>
      <c r="P385" s="141" t="str">
        <f t="shared" si="33"/>
        <v/>
      </c>
      <c r="Q385" s="141" t="str">
        <f t="shared" si="34"/>
        <v/>
      </c>
      <c r="AA385" s="141" t="s">
        <v>1124</v>
      </c>
      <c r="AB385" s="141" t="s">
        <v>1125</v>
      </c>
    </row>
    <row r="386" spans="1:28">
      <c r="A386" s="151"/>
      <c r="B386" s="146" t="str">
        <f t="shared" si="30"/>
        <v/>
      </c>
      <c r="C386" s="151"/>
      <c r="D386" s="146" t="str">
        <f t="shared" si="31"/>
        <v/>
      </c>
      <c r="E386" s="186"/>
      <c r="F386" s="146" t="str">
        <f t="shared" si="32"/>
        <v/>
      </c>
      <c r="G386" s="185"/>
      <c r="H386" s="185"/>
      <c r="I386" s="185"/>
      <c r="J386" s="201"/>
      <c r="K386" s="200"/>
      <c r="L386" s="200"/>
      <c r="M386" s="201"/>
      <c r="N386" s="201"/>
      <c r="P386" s="141" t="str">
        <f t="shared" si="33"/>
        <v/>
      </c>
      <c r="Q386" s="141" t="str">
        <f t="shared" si="34"/>
        <v/>
      </c>
      <c r="AA386" s="141" t="s">
        <v>1126</v>
      </c>
      <c r="AB386" s="141" t="s">
        <v>1127</v>
      </c>
    </row>
    <row r="387" spans="1:28">
      <c r="A387" s="151"/>
      <c r="B387" s="146" t="str">
        <f t="shared" si="30"/>
        <v/>
      </c>
      <c r="C387" s="151"/>
      <c r="D387" s="146" t="str">
        <f t="shared" si="31"/>
        <v/>
      </c>
      <c r="E387" s="186"/>
      <c r="F387" s="146" t="str">
        <f t="shared" si="32"/>
        <v/>
      </c>
      <c r="G387" s="185"/>
      <c r="H387" s="185"/>
      <c r="I387" s="185"/>
      <c r="J387" s="201"/>
      <c r="K387" s="200"/>
      <c r="L387" s="200"/>
      <c r="M387" s="201"/>
      <c r="N387" s="201"/>
      <c r="P387" s="141" t="str">
        <f t="shared" si="33"/>
        <v/>
      </c>
      <c r="Q387" s="141" t="str">
        <f t="shared" si="34"/>
        <v/>
      </c>
      <c r="AA387" s="141" t="s">
        <v>1128</v>
      </c>
      <c r="AB387" s="141" t="s">
        <v>1129</v>
      </c>
    </row>
    <row r="388" spans="1:28">
      <c r="A388" s="151"/>
      <c r="B388" s="146" t="str">
        <f t="shared" ref="B388:B451" si="35">IFERROR(VLOOKUP(A388,$R$6:$S$23,2,FALSE),"")</f>
        <v/>
      </c>
      <c r="C388" s="151"/>
      <c r="D388" s="146" t="str">
        <f t="shared" ref="D388:D451" si="36">IFERROR(VLOOKUP(C388,$U$5:$W$129,2,FALSE),"")</f>
        <v/>
      </c>
      <c r="E388" s="186"/>
      <c r="F388" s="146" t="str">
        <f t="shared" ref="F388:F451" si="37">IFERROR(VLOOKUP(E388,$AA$5:$AB$500,2,FALSE),"")</f>
        <v/>
      </c>
      <c r="G388" s="185"/>
      <c r="H388" s="185"/>
      <c r="I388" s="185"/>
      <c r="J388" s="201"/>
      <c r="K388" s="200"/>
      <c r="L388" s="200"/>
      <c r="M388" s="201"/>
      <c r="N388" s="201"/>
      <c r="P388" s="141" t="str">
        <f t="shared" ref="P388:P451" si="38">LEFT(C388,3)</f>
        <v/>
      </c>
      <c r="Q388" s="141" t="str">
        <f t="shared" ref="Q388:Q451" si="39">LEFT(C388,2)</f>
        <v/>
      </c>
      <c r="AA388" s="141" t="s">
        <v>1130</v>
      </c>
      <c r="AB388" s="141" t="s">
        <v>1131</v>
      </c>
    </row>
    <row r="389" spans="1:28">
      <c r="A389" s="151"/>
      <c r="B389" s="146" t="str">
        <f t="shared" si="35"/>
        <v/>
      </c>
      <c r="C389" s="151"/>
      <c r="D389" s="146" t="str">
        <f t="shared" si="36"/>
        <v/>
      </c>
      <c r="E389" s="186"/>
      <c r="F389" s="146" t="str">
        <f t="shared" si="37"/>
        <v/>
      </c>
      <c r="G389" s="185"/>
      <c r="H389" s="185"/>
      <c r="I389" s="185"/>
      <c r="J389" s="201"/>
      <c r="K389" s="200"/>
      <c r="L389" s="200"/>
      <c r="M389" s="201"/>
      <c r="N389" s="201"/>
      <c r="P389" s="141" t="str">
        <f t="shared" si="38"/>
        <v/>
      </c>
      <c r="Q389" s="141" t="str">
        <f t="shared" si="39"/>
        <v/>
      </c>
      <c r="AA389" s="141" t="s">
        <v>1132</v>
      </c>
      <c r="AB389" s="141" t="s">
        <v>1133</v>
      </c>
    </row>
    <row r="390" spans="1:28">
      <c r="A390" s="151"/>
      <c r="B390" s="146" t="str">
        <f t="shared" si="35"/>
        <v/>
      </c>
      <c r="C390" s="151"/>
      <c r="D390" s="146" t="str">
        <f t="shared" si="36"/>
        <v/>
      </c>
      <c r="E390" s="186"/>
      <c r="F390" s="146" t="str">
        <f t="shared" si="37"/>
        <v/>
      </c>
      <c r="G390" s="185"/>
      <c r="H390" s="185"/>
      <c r="I390" s="185"/>
      <c r="J390" s="201"/>
      <c r="K390" s="200"/>
      <c r="L390" s="200"/>
      <c r="M390" s="201"/>
      <c r="N390" s="201"/>
      <c r="P390" s="141" t="str">
        <f t="shared" si="38"/>
        <v/>
      </c>
      <c r="Q390" s="141" t="str">
        <f t="shared" si="39"/>
        <v/>
      </c>
      <c r="AA390" s="141" t="s">
        <v>1134</v>
      </c>
      <c r="AB390" s="141" t="s">
        <v>1135</v>
      </c>
    </row>
    <row r="391" spans="1:28">
      <c r="A391" s="151"/>
      <c r="B391" s="146" t="str">
        <f t="shared" si="35"/>
        <v/>
      </c>
      <c r="C391" s="151"/>
      <c r="D391" s="146" t="str">
        <f t="shared" si="36"/>
        <v/>
      </c>
      <c r="E391" s="186"/>
      <c r="F391" s="146" t="str">
        <f t="shared" si="37"/>
        <v/>
      </c>
      <c r="G391" s="185"/>
      <c r="H391" s="185"/>
      <c r="I391" s="185"/>
      <c r="J391" s="201"/>
      <c r="K391" s="200"/>
      <c r="L391" s="200"/>
      <c r="M391" s="201"/>
      <c r="N391" s="201"/>
      <c r="P391" s="141" t="str">
        <f t="shared" si="38"/>
        <v/>
      </c>
      <c r="Q391" s="141" t="str">
        <f t="shared" si="39"/>
        <v/>
      </c>
      <c r="AA391" s="141" t="s">
        <v>1136</v>
      </c>
      <c r="AB391" s="141" t="s">
        <v>1137</v>
      </c>
    </row>
    <row r="392" spans="1:28">
      <c r="A392" s="151"/>
      <c r="B392" s="146" t="str">
        <f t="shared" si="35"/>
        <v/>
      </c>
      <c r="C392" s="151"/>
      <c r="D392" s="146" t="str">
        <f t="shared" si="36"/>
        <v/>
      </c>
      <c r="E392" s="186"/>
      <c r="F392" s="146" t="str">
        <f t="shared" si="37"/>
        <v/>
      </c>
      <c r="G392" s="185"/>
      <c r="H392" s="185"/>
      <c r="I392" s="185"/>
      <c r="J392" s="201"/>
      <c r="K392" s="200"/>
      <c r="L392" s="200"/>
      <c r="M392" s="201"/>
      <c r="N392" s="201"/>
      <c r="P392" s="141" t="str">
        <f t="shared" si="38"/>
        <v/>
      </c>
      <c r="Q392" s="141" t="str">
        <f t="shared" si="39"/>
        <v/>
      </c>
      <c r="AA392" s="141" t="s">
        <v>1138</v>
      </c>
      <c r="AB392" s="141" t="s">
        <v>1139</v>
      </c>
    </row>
    <row r="393" spans="1:28">
      <c r="A393" s="151"/>
      <c r="B393" s="146" t="str">
        <f t="shared" si="35"/>
        <v/>
      </c>
      <c r="C393" s="151"/>
      <c r="D393" s="146" t="str">
        <f t="shared" si="36"/>
        <v/>
      </c>
      <c r="E393" s="186"/>
      <c r="F393" s="146" t="str">
        <f t="shared" si="37"/>
        <v/>
      </c>
      <c r="G393" s="185"/>
      <c r="H393" s="185"/>
      <c r="I393" s="185"/>
      <c r="J393" s="201"/>
      <c r="K393" s="200"/>
      <c r="L393" s="200"/>
      <c r="M393" s="201"/>
      <c r="N393" s="201"/>
      <c r="P393" s="141" t="str">
        <f t="shared" si="38"/>
        <v/>
      </c>
      <c r="Q393" s="141" t="str">
        <f t="shared" si="39"/>
        <v/>
      </c>
      <c r="AA393" s="141" t="s">
        <v>1140</v>
      </c>
      <c r="AB393" s="141" t="s">
        <v>1141</v>
      </c>
    </row>
    <row r="394" spans="1:28">
      <c r="A394" s="151"/>
      <c r="B394" s="146" t="str">
        <f t="shared" si="35"/>
        <v/>
      </c>
      <c r="C394" s="151"/>
      <c r="D394" s="146" t="str">
        <f t="shared" si="36"/>
        <v/>
      </c>
      <c r="E394" s="186"/>
      <c r="F394" s="146" t="str">
        <f t="shared" si="37"/>
        <v/>
      </c>
      <c r="G394" s="185"/>
      <c r="H394" s="185"/>
      <c r="I394" s="185"/>
      <c r="J394" s="201"/>
      <c r="K394" s="200"/>
      <c r="L394" s="200"/>
      <c r="M394" s="201"/>
      <c r="N394" s="201"/>
      <c r="P394" s="141" t="str">
        <f t="shared" si="38"/>
        <v/>
      </c>
      <c r="Q394" s="141" t="str">
        <f t="shared" si="39"/>
        <v/>
      </c>
      <c r="AA394" s="141" t="s">
        <v>1142</v>
      </c>
      <c r="AB394" s="141" t="s">
        <v>1143</v>
      </c>
    </row>
    <row r="395" spans="1:28">
      <c r="A395" s="151"/>
      <c r="B395" s="146" t="str">
        <f t="shared" si="35"/>
        <v/>
      </c>
      <c r="C395" s="151"/>
      <c r="D395" s="146" t="str">
        <f t="shared" si="36"/>
        <v/>
      </c>
      <c r="E395" s="186"/>
      <c r="F395" s="146" t="str">
        <f t="shared" si="37"/>
        <v/>
      </c>
      <c r="G395" s="185"/>
      <c r="H395" s="185"/>
      <c r="I395" s="185"/>
      <c r="J395" s="201"/>
      <c r="K395" s="200"/>
      <c r="L395" s="200"/>
      <c r="M395" s="201"/>
      <c r="N395" s="201"/>
      <c r="P395" s="141" t="str">
        <f t="shared" si="38"/>
        <v/>
      </c>
      <c r="Q395" s="141" t="str">
        <f t="shared" si="39"/>
        <v/>
      </c>
      <c r="AA395" s="141" t="s">
        <v>1144</v>
      </c>
      <c r="AB395" s="141" t="s">
        <v>1145</v>
      </c>
    </row>
    <row r="396" spans="1:28">
      <c r="A396" s="151"/>
      <c r="B396" s="146" t="str">
        <f t="shared" si="35"/>
        <v/>
      </c>
      <c r="C396" s="151"/>
      <c r="D396" s="146" t="str">
        <f t="shared" si="36"/>
        <v/>
      </c>
      <c r="E396" s="186"/>
      <c r="F396" s="146" t="str">
        <f t="shared" si="37"/>
        <v/>
      </c>
      <c r="G396" s="185"/>
      <c r="H396" s="185"/>
      <c r="I396" s="185"/>
      <c r="J396" s="201"/>
      <c r="K396" s="200"/>
      <c r="L396" s="200"/>
      <c r="M396" s="201"/>
      <c r="N396" s="201"/>
      <c r="P396" s="141" t="str">
        <f t="shared" si="38"/>
        <v/>
      </c>
      <c r="Q396" s="141" t="str">
        <f t="shared" si="39"/>
        <v/>
      </c>
      <c r="AA396" s="141" t="s">
        <v>1146</v>
      </c>
      <c r="AB396" s="141" t="s">
        <v>1147</v>
      </c>
    </row>
    <row r="397" spans="1:28">
      <c r="A397" s="151"/>
      <c r="B397" s="146" t="str">
        <f t="shared" si="35"/>
        <v/>
      </c>
      <c r="C397" s="151"/>
      <c r="D397" s="146" t="str">
        <f t="shared" si="36"/>
        <v/>
      </c>
      <c r="E397" s="186"/>
      <c r="F397" s="146" t="str">
        <f t="shared" si="37"/>
        <v/>
      </c>
      <c r="G397" s="185"/>
      <c r="H397" s="185"/>
      <c r="I397" s="185"/>
      <c r="J397" s="201"/>
      <c r="K397" s="200"/>
      <c r="L397" s="200"/>
      <c r="M397" s="201"/>
      <c r="N397" s="201"/>
      <c r="P397" s="141" t="str">
        <f t="shared" si="38"/>
        <v/>
      </c>
      <c r="Q397" s="141" t="str">
        <f t="shared" si="39"/>
        <v/>
      </c>
      <c r="AA397" s="141" t="s">
        <v>1148</v>
      </c>
      <c r="AB397" s="141" t="s">
        <v>1149</v>
      </c>
    </row>
    <row r="398" spans="1:28">
      <c r="A398" s="151"/>
      <c r="B398" s="146" t="str">
        <f t="shared" si="35"/>
        <v/>
      </c>
      <c r="C398" s="151"/>
      <c r="D398" s="146" t="str">
        <f t="shared" si="36"/>
        <v/>
      </c>
      <c r="E398" s="186"/>
      <c r="F398" s="146" t="str">
        <f t="shared" si="37"/>
        <v/>
      </c>
      <c r="G398" s="185"/>
      <c r="H398" s="185"/>
      <c r="I398" s="185"/>
      <c r="J398" s="201"/>
      <c r="K398" s="200"/>
      <c r="L398" s="200"/>
      <c r="M398" s="201"/>
      <c r="N398" s="201"/>
      <c r="P398" s="141" t="str">
        <f t="shared" si="38"/>
        <v/>
      </c>
      <c r="Q398" s="141" t="str">
        <f t="shared" si="39"/>
        <v/>
      </c>
      <c r="AA398" s="141" t="s">
        <v>1150</v>
      </c>
      <c r="AB398" s="141" t="s">
        <v>1151</v>
      </c>
    </row>
    <row r="399" spans="1:28">
      <c r="A399" s="151"/>
      <c r="B399" s="146" t="str">
        <f t="shared" si="35"/>
        <v/>
      </c>
      <c r="C399" s="151"/>
      <c r="D399" s="146" t="str">
        <f t="shared" si="36"/>
        <v/>
      </c>
      <c r="E399" s="186"/>
      <c r="F399" s="146" t="str">
        <f t="shared" si="37"/>
        <v/>
      </c>
      <c r="G399" s="185"/>
      <c r="H399" s="185"/>
      <c r="I399" s="185"/>
      <c r="J399" s="201"/>
      <c r="K399" s="200"/>
      <c r="L399" s="200"/>
      <c r="M399" s="201"/>
      <c r="N399" s="201"/>
      <c r="P399" s="141" t="str">
        <f t="shared" si="38"/>
        <v/>
      </c>
      <c r="Q399" s="141" t="str">
        <f t="shared" si="39"/>
        <v/>
      </c>
      <c r="AA399" s="141" t="s">
        <v>1152</v>
      </c>
      <c r="AB399" s="141" t="s">
        <v>1153</v>
      </c>
    </row>
    <row r="400" spans="1:28">
      <c r="A400" s="151"/>
      <c r="B400" s="146" t="str">
        <f t="shared" si="35"/>
        <v/>
      </c>
      <c r="C400" s="151"/>
      <c r="D400" s="146" t="str">
        <f t="shared" si="36"/>
        <v/>
      </c>
      <c r="E400" s="186"/>
      <c r="F400" s="146" t="str">
        <f t="shared" si="37"/>
        <v/>
      </c>
      <c r="G400" s="185"/>
      <c r="H400" s="185"/>
      <c r="I400" s="185"/>
      <c r="J400" s="201"/>
      <c r="K400" s="200"/>
      <c r="L400" s="200"/>
      <c r="M400" s="201"/>
      <c r="N400" s="201"/>
      <c r="P400" s="141" t="str">
        <f t="shared" si="38"/>
        <v/>
      </c>
      <c r="Q400" s="141" t="str">
        <f t="shared" si="39"/>
        <v/>
      </c>
      <c r="AA400" s="141" t="s">
        <v>1154</v>
      </c>
      <c r="AB400" s="141" t="s">
        <v>1155</v>
      </c>
    </row>
    <row r="401" spans="1:28">
      <c r="A401" s="151"/>
      <c r="B401" s="146" t="str">
        <f t="shared" si="35"/>
        <v/>
      </c>
      <c r="C401" s="151"/>
      <c r="D401" s="146" t="str">
        <f t="shared" si="36"/>
        <v/>
      </c>
      <c r="E401" s="186"/>
      <c r="F401" s="146" t="str">
        <f t="shared" si="37"/>
        <v/>
      </c>
      <c r="G401" s="185"/>
      <c r="H401" s="185"/>
      <c r="I401" s="185"/>
      <c r="J401" s="201"/>
      <c r="K401" s="200"/>
      <c r="L401" s="200"/>
      <c r="M401" s="201"/>
      <c r="N401" s="201"/>
      <c r="P401" s="141" t="str">
        <f t="shared" si="38"/>
        <v/>
      </c>
      <c r="Q401" s="141" t="str">
        <f t="shared" si="39"/>
        <v/>
      </c>
      <c r="AA401" s="141" t="s">
        <v>1156</v>
      </c>
      <c r="AB401" s="141" t="s">
        <v>1157</v>
      </c>
    </row>
    <row r="402" spans="1:28">
      <c r="A402" s="151"/>
      <c r="B402" s="146" t="str">
        <f t="shared" si="35"/>
        <v/>
      </c>
      <c r="C402" s="151"/>
      <c r="D402" s="146" t="str">
        <f t="shared" si="36"/>
        <v/>
      </c>
      <c r="E402" s="186"/>
      <c r="F402" s="146" t="str">
        <f t="shared" si="37"/>
        <v/>
      </c>
      <c r="G402" s="185"/>
      <c r="H402" s="185"/>
      <c r="I402" s="185"/>
      <c r="J402" s="201"/>
      <c r="K402" s="200"/>
      <c r="L402" s="200"/>
      <c r="M402" s="201"/>
      <c r="N402" s="201"/>
      <c r="P402" s="141" t="str">
        <f t="shared" si="38"/>
        <v/>
      </c>
      <c r="Q402" s="141" t="str">
        <f t="shared" si="39"/>
        <v/>
      </c>
      <c r="AA402" s="141" t="s">
        <v>1158</v>
      </c>
      <c r="AB402" s="141" t="s">
        <v>1159</v>
      </c>
    </row>
    <row r="403" spans="1:28">
      <c r="A403" s="151"/>
      <c r="B403" s="146" t="str">
        <f t="shared" si="35"/>
        <v/>
      </c>
      <c r="C403" s="151"/>
      <c r="D403" s="146" t="str">
        <f t="shared" si="36"/>
        <v/>
      </c>
      <c r="E403" s="186"/>
      <c r="F403" s="146" t="str">
        <f t="shared" si="37"/>
        <v/>
      </c>
      <c r="G403" s="185"/>
      <c r="H403" s="185"/>
      <c r="I403" s="185"/>
      <c r="J403" s="201"/>
      <c r="K403" s="200"/>
      <c r="L403" s="200"/>
      <c r="M403" s="201"/>
      <c r="N403" s="201"/>
      <c r="P403" s="141" t="str">
        <f t="shared" si="38"/>
        <v/>
      </c>
      <c r="Q403" s="141" t="str">
        <f t="shared" si="39"/>
        <v/>
      </c>
      <c r="AA403" s="141" t="s">
        <v>1160</v>
      </c>
      <c r="AB403" s="141" t="s">
        <v>1161</v>
      </c>
    </row>
    <row r="404" spans="1:28">
      <c r="A404" s="151"/>
      <c r="B404" s="146" t="str">
        <f t="shared" si="35"/>
        <v/>
      </c>
      <c r="C404" s="151"/>
      <c r="D404" s="146" t="str">
        <f t="shared" si="36"/>
        <v/>
      </c>
      <c r="E404" s="186"/>
      <c r="F404" s="146" t="str">
        <f t="shared" si="37"/>
        <v/>
      </c>
      <c r="G404" s="185"/>
      <c r="H404" s="185"/>
      <c r="I404" s="185"/>
      <c r="J404" s="201"/>
      <c r="K404" s="200"/>
      <c r="L404" s="200"/>
      <c r="M404" s="201"/>
      <c r="N404" s="201"/>
      <c r="P404" s="141" t="str">
        <f t="shared" si="38"/>
        <v/>
      </c>
      <c r="Q404" s="141" t="str">
        <f t="shared" si="39"/>
        <v/>
      </c>
      <c r="AA404" s="141" t="s">
        <v>1162</v>
      </c>
      <c r="AB404" s="141" t="s">
        <v>1163</v>
      </c>
    </row>
    <row r="405" spans="1:28">
      <c r="A405" s="151"/>
      <c r="B405" s="146" t="str">
        <f t="shared" si="35"/>
        <v/>
      </c>
      <c r="C405" s="151"/>
      <c r="D405" s="146" t="str">
        <f t="shared" si="36"/>
        <v/>
      </c>
      <c r="E405" s="186"/>
      <c r="F405" s="146" t="str">
        <f t="shared" si="37"/>
        <v/>
      </c>
      <c r="G405" s="185"/>
      <c r="H405" s="185"/>
      <c r="I405" s="185"/>
      <c r="J405" s="201"/>
      <c r="K405" s="200"/>
      <c r="L405" s="200"/>
      <c r="M405" s="201"/>
      <c r="N405" s="201"/>
      <c r="P405" s="141" t="str">
        <f t="shared" si="38"/>
        <v/>
      </c>
      <c r="Q405" s="141" t="str">
        <f t="shared" si="39"/>
        <v/>
      </c>
      <c r="AA405" s="141" t="s">
        <v>1164</v>
      </c>
      <c r="AB405" s="141" t="s">
        <v>1165</v>
      </c>
    </row>
    <row r="406" spans="1:28">
      <c r="A406" s="151"/>
      <c r="B406" s="146" t="str">
        <f t="shared" si="35"/>
        <v/>
      </c>
      <c r="C406" s="151"/>
      <c r="D406" s="146" t="str">
        <f t="shared" si="36"/>
        <v/>
      </c>
      <c r="E406" s="186"/>
      <c r="F406" s="146" t="str">
        <f t="shared" si="37"/>
        <v/>
      </c>
      <c r="G406" s="185"/>
      <c r="H406" s="185"/>
      <c r="I406" s="185"/>
      <c r="J406" s="201"/>
      <c r="K406" s="200"/>
      <c r="L406" s="200"/>
      <c r="M406" s="201"/>
      <c r="N406" s="201"/>
      <c r="P406" s="141" t="str">
        <f t="shared" si="38"/>
        <v/>
      </c>
      <c r="Q406" s="141" t="str">
        <f t="shared" si="39"/>
        <v/>
      </c>
      <c r="AA406" s="141" t="s">
        <v>1166</v>
      </c>
      <c r="AB406" s="141" t="s">
        <v>1167</v>
      </c>
    </row>
    <row r="407" spans="1:28">
      <c r="A407" s="151"/>
      <c r="B407" s="146" t="str">
        <f t="shared" si="35"/>
        <v/>
      </c>
      <c r="C407" s="151"/>
      <c r="D407" s="146" t="str">
        <f t="shared" si="36"/>
        <v/>
      </c>
      <c r="E407" s="186"/>
      <c r="F407" s="146" t="str">
        <f t="shared" si="37"/>
        <v/>
      </c>
      <c r="G407" s="185"/>
      <c r="H407" s="185"/>
      <c r="I407" s="185"/>
      <c r="J407" s="201"/>
      <c r="K407" s="200"/>
      <c r="L407" s="200"/>
      <c r="M407" s="201"/>
      <c r="N407" s="201"/>
      <c r="P407" s="141" t="str">
        <f t="shared" si="38"/>
        <v/>
      </c>
      <c r="Q407" s="141" t="str">
        <f t="shared" si="39"/>
        <v/>
      </c>
      <c r="AA407" s="141" t="s">
        <v>1168</v>
      </c>
      <c r="AB407" s="141" t="s">
        <v>1169</v>
      </c>
    </row>
    <row r="408" spans="1:28">
      <c r="A408" s="151"/>
      <c r="B408" s="146" t="str">
        <f t="shared" si="35"/>
        <v/>
      </c>
      <c r="C408" s="151"/>
      <c r="D408" s="146" t="str">
        <f t="shared" si="36"/>
        <v/>
      </c>
      <c r="E408" s="186"/>
      <c r="F408" s="146" t="str">
        <f t="shared" si="37"/>
        <v/>
      </c>
      <c r="G408" s="185"/>
      <c r="H408" s="185"/>
      <c r="I408" s="185"/>
      <c r="J408" s="201"/>
      <c r="K408" s="200"/>
      <c r="L408" s="200"/>
      <c r="M408" s="201"/>
      <c r="N408" s="201"/>
      <c r="P408" s="141" t="str">
        <f t="shared" si="38"/>
        <v/>
      </c>
      <c r="Q408" s="141" t="str">
        <f t="shared" si="39"/>
        <v/>
      </c>
      <c r="AA408" s="141" t="s">
        <v>1170</v>
      </c>
      <c r="AB408" s="141" t="s">
        <v>1171</v>
      </c>
    </row>
    <row r="409" spans="1:28">
      <c r="A409" s="151"/>
      <c r="B409" s="146" t="str">
        <f t="shared" si="35"/>
        <v/>
      </c>
      <c r="C409" s="151"/>
      <c r="D409" s="146" t="str">
        <f t="shared" si="36"/>
        <v/>
      </c>
      <c r="E409" s="186"/>
      <c r="F409" s="146" t="str">
        <f t="shared" si="37"/>
        <v/>
      </c>
      <c r="G409" s="185"/>
      <c r="H409" s="185"/>
      <c r="I409" s="185"/>
      <c r="J409" s="201"/>
      <c r="K409" s="200"/>
      <c r="L409" s="200"/>
      <c r="M409" s="201"/>
      <c r="N409" s="201"/>
      <c r="P409" s="141" t="str">
        <f t="shared" si="38"/>
        <v/>
      </c>
      <c r="Q409" s="141" t="str">
        <f t="shared" si="39"/>
        <v/>
      </c>
      <c r="AA409" s="141" t="s">
        <v>1172</v>
      </c>
      <c r="AB409" s="141" t="s">
        <v>1173</v>
      </c>
    </row>
    <row r="410" spans="1:28">
      <c r="A410" s="151"/>
      <c r="B410" s="146" t="str">
        <f t="shared" si="35"/>
        <v/>
      </c>
      <c r="C410" s="151"/>
      <c r="D410" s="146" t="str">
        <f t="shared" si="36"/>
        <v/>
      </c>
      <c r="E410" s="186"/>
      <c r="F410" s="146" t="str">
        <f t="shared" si="37"/>
        <v/>
      </c>
      <c r="G410" s="185"/>
      <c r="H410" s="185"/>
      <c r="I410" s="185"/>
      <c r="J410" s="201"/>
      <c r="K410" s="200"/>
      <c r="L410" s="200"/>
      <c r="M410" s="201"/>
      <c r="N410" s="201"/>
      <c r="P410" s="141" t="str">
        <f t="shared" si="38"/>
        <v/>
      </c>
      <c r="Q410" s="141" t="str">
        <f t="shared" si="39"/>
        <v/>
      </c>
      <c r="AA410" s="141" t="s">
        <v>1174</v>
      </c>
      <c r="AB410" s="141" t="s">
        <v>1175</v>
      </c>
    </row>
    <row r="411" spans="1:28">
      <c r="A411" s="151"/>
      <c r="B411" s="146" t="str">
        <f t="shared" si="35"/>
        <v/>
      </c>
      <c r="C411" s="151"/>
      <c r="D411" s="146" t="str">
        <f t="shared" si="36"/>
        <v/>
      </c>
      <c r="E411" s="186"/>
      <c r="F411" s="146" t="str">
        <f t="shared" si="37"/>
        <v/>
      </c>
      <c r="G411" s="185"/>
      <c r="H411" s="185"/>
      <c r="I411" s="185"/>
      <c r="J411" s="201"/>
      <c r="K411" s="200"/>
      <c r="L411" s="200"/>
      <c r="M411" s="201"/>
      <c r="N411" s="201"/>
      <c r="P411" s="141" t="str">
        <f t="shared" si="38"/>
        <v/>
      </c>
      <c r="Q411" s="141" t="str">
        <f t="shared" si="39"/>
        <v/>
      </c>
      <c r="AA411" s="141" t="s">
        <v>1176</v>
      </c>
      <c r="AB411" s="141" t="s">
        <v>1177</v>
      </c>
    </row>
    <row r="412" spans="1:28">
      <c r="A412" s="151"/>
      <c r="B412" s="146" t="str">
        <f t="shared" si="35"/>
        <v/>
      </c>
      <c r="C412" s="151"/>
      <c r="D412" s="146" t="str">
        <f t="shared" si="36"/>
        <v/>
      </c>
      <c r="E412" s="186"/>
      <c r="F412" s="146" t="str">
        <f t="shared" si="37"/>
        <v/>
      </c>
      <c r="G412" s="185"/>
      <c r="H412" s="185"/>
      <c r="I412" s="185"/>
      <c r="J412" s="201"/>
      <c r="K412" s="200"/>
      <c r="L412" s="200"/>
      <c r="M412" s="201"/>
      <c r="N412" s="201"/>
      <c r="P412" s="141" t="str">
        <f t="shared" si="38"/>
        <v/>
      </c>
      <c r="Q412" s="141" t="str">
        <f t="shared" si="39"/>
        <v/>
      </c>
      <c r="AA412" s="141" t="s">
        <v>1178</v>
      </c>
      <c r="AB412" s="141" t="s">
        <v>1179</v>
      </c>
    </row>
    <row r="413" spans="1:28">
      <c r="A413" s="151"/>
      <c r="B413" s="146" t="str">
        <f t="shared" si="35"/>
        <v/>
      </c>
      <c r="C413" s="151"/>
      <c r="D413" s="146" t="str">
        <f t="shared" si="36"/>
        <v/>
      </c>
      <c r="E413" s="186"/>
      <c r="F413" s="146" t="str">
        <f t="shared" si="37"/>
        <v/>
      </c>
      <c r="G413" s="185"/>
      <c r="H413" s="185"/>
      <c r="I413" s="185"/>
      <c r="J413" s="201"/>
      <c r="K413" s="200"/>
      <c r="L413" s="200"/>
      <c r="M413" s="201"/>
      <c r="N413" s="201"/>
      <c r="P413" s="141" t="str">
        <f t="shared" si="38"/>
        <v/>
      </c>
      <c r="Q413" s="141" t="str">
        <f t="shared" si="39"/>
        <v/>
      </c>
      <c r="AA413" s="141" t="s">
        <v>1180</v>
      </c>
      <c r="AB413" s="141" t="s">
        <v>1181</v>
      </c>
    </row>
    <row r="414" spans="1:28">
      <c r="A414" s="151"/>
      <c r="B414" s="146" t="str">
        <f t="shared" si="35"/>
        <v/>
      </c>
      <c r="C414" s="151"/>
      <c r="D414" s="146" t="str">
        <f t="shared" si="36"/>
        <v/>
      </c>
      <c r="E414" s="186"/>
      <c r="F414" s="146" t="str">
        <f t="shared" si="37"/>
        <v/>
      </c>
      <c r="G414" s="185"/>
      <c r="H414" s="185"/>
      <c r="I414" s="185"/>
      <c r="J414" s="201"/>
      <c r="K414" s="200"/>
      <c r="L414" s="200"/>
      <c r="M414" s="201"/>
      <c r="N414" s="201"/>
      <c r="P414" s="141" t="str">
        <f t="shared" si="38"/>
        <v/>
      </c>
      <c r="Q414" s="141" t="str">
        <f t="shared" si="39"/>
        <v/>
      </c>
      <c r="AA414" s="141" t="s">
        <v>1182</v>
      </c>
      <c r="AB414" s="141" t="s">
        <v>1183</v>
      </c>
    </row>
    <row r="415" spans="1:28">
      <c r="A415" s="151"/>
      <c r="B415" s="146" t="str">
        <f t="shared" si="35"/>
        <v/>
      </c>
      <c r="C415" s="151"/>
      <c r="D415" s="146" t="str">
        <f t="shared" si="36"/>
        <v/>
      </c>
      <c r="E415" s="186"/>
      <c r="F415" s="146" t="str">
        <f t="shared" si="37"/>
        <v/>
      </c>
      <c r="G415" s="185"/>
      <c r="H415" s="185"/>
      <c r="I415" s="185"/>
      <c r="J415" s="201"/>
      <c r="K415" s="200"/>
      <c r="L415" s="200"/>
      <c r="M415" s="201"/>
      <c r="N415" s="201"/>
      <c r="P415" s="141" t="str">
        <f t="shared" si="38"/>
        <v/>
      </c>
      <c r="Q415" s="141" t="str">
        <f t="shared" si="39"/>
        <v/>
      </c>
      <c r="AA415" s="141" t="s">
        <v>1184</v>
      </c>
      <c r="AB415" s="141" t="s">
        <v>1185</v>
      </c>
    </row>
    <row r="416" spans="1:28">
      <c r="A416" s="151"/>
      <c r="B416" s="146" t="str">
        <f t="shared" si="35"/>
        <v/>
      </c>
      <c r="C416" s="151"/>
      <c r="D416" s="146" t="str">
        <f t="shared" si="36"/>
        <v/>
      </c>
      <c r="E416" s="186"/>
      <c r="F416" s="146" t="str">
        <f t="shared" si="37"/>
        <v/>
      </c>
      <c r="G416" s="185"/>
      <c r="H416" s="185"/>
      <c r="I416" s="185"/>
      <c r="J416" s="201"/>
      <c r="K416" s="200"/>
      <c r="L416" s="200"/>
      <c r="M416" s="201"/>
      <c r="N416" s="201"/>
      <c r="P416" s="141" t="str">
        <f t="shared" si="38"/>
        <v/>
      </c>
      <c r="Q416" s="141" t="str">
        <f t="shared" si="39"/>
        <v/>
      </c>
      <c r="AA416" s="141" t="s">
        <v>1186</v>
      </c>
      <c r="AB416" s="141" t="s">
        <v>1187</v>
      </c>
    </row>
    <row r="417" spans="1:28">
      <c r="A417" s="151"/>
      <c r="B417" s="146" t="str">
        <f t="shared" si="35"/>
        <v/>
      </c>
      <c r="C417" s="151"/>
      <c r="D417" s="146" t="str">
        <f t="shared" si="36"/>
        <v/>
      </c>
      <c r="E417" s="186"/>
      <c r="F417" s="146" t="str">
        <f t="shared" si="37"/>
        <v/>
      </c>
      <c r="G417" s="185"/>
      <c r="H417" s="185"/>
      <c r="I417" s="185"/>
      <c r="J417" s="201"/>
      <c r="K417" s="200"/>
      <c r="L417" s="200"/>
      <c r="M417" s="201"/>
      <c r="N417" s="201"/>
      <c r="P417" s="141" t="str">
        <f t="shared" si="38"/>
        <v/>
      </c>
      <c r="Q417" s="141" t="str">
        <f t="shared" si="39"/>
        <v/>
      </c>
      <c r="AA417" s="141" t="s">
        <v>1188</v>
      </c>
      <c r="AB417" s="141" t="s">
        <v>1189</v>
      </c>
    </row>
    <row r="418" spans="1:28">
      <c r="A418" s="151"/>
      <c r="B418" s="146" t="str">
        <f t="shared" si="35"/>
        <v/>
      </c>
      <c r="C418" s="151"/>
      <c r="D418" s="146" t="str">
        <f t="shared" si="36"/>
        <v/>
      </c>
      <c r="E418" s="186"/>
      <c r="F418" s="146" t="str">
        <f t="shared" si="37"/>
        <v/>
      </c>
      <c r="G418" s="185"/>
      <c r="H418" s="185"/>
      <c r="I418" s="185"/>
      <c r="J418" s="201"/>
      <c r="K418" s="200"/>
      <c r="L418" s="200"/>
      <c r="M418" s="201"/>
      <c r="N418" s="201"/>
      <c r="P418" s="141" t="str">
        <f t="shared" si="38"/>
        <v/>
      </c>
      <c r="Q418" s="141" t="str">
        <f t="shared" si="39"/>
        <v/>
      </c>
      <c r="AA418" s="141" t="s">
        <v>1971</v>
      </c>
      <c r="AB418" s="141" t="s">
        <v>1972</v>
      </c>
    </row>
    <row r="419" spans="1:28">
      <c r="A419" s="151"/>
      <c r="B419" s="146" t="str">
        <f t="shared" si="35"/>
        <v/>
      </c>
      <c r="C419" s="151"/>
      <c r="D419" s="146" t="str">
        <f t="shared" si="36"/>
        <v/>
      </c>
      <c r="E419" s="186"/>
      <c r="F419" s="146" t="str">
        <f t="shared" si="37"/>
        <v/>
      </c>
      <c r="G419" s="185"/>
      <c r="H419" s="185"/>
      <c r="I419" s="185"/>
      <c r="J419" s="201"/>
      <c r="K419" s="200"/>
      <c r="L419" s="200"/>
      <c r="M419" s="201"/>
      <c r="N419" s="201"/>
      <c r="P419" s="141" t="str">
        <f t="shared" si="38"/>
        <v/>
      </c>
      <c r="Q419" s="141" t="str">
        <f t="shared" si="39"/>
        <v/>
      </c>
      <c r="AA419" s="141" t="s">
        <v>1973</v>
      </c>
      <c r="AB419" s="141" t="s">
        <v>1974</v>
      </c>
    </row>
    <row r="420" spans="1:28">
      <c r="A420" s="151"/>
      <c r="B420" s="146" t="str">
        <f t="shared" si="35"/>
        <v/>
      </c>
      <c r="C420" s="151"/>
      <c r="D420" s="146" t="str">
        <f t="shared" si="36"/>
        <v/>
      </c>
      <c r="E420" s="186"/>
      <c r="F420" s="146" t="str">
        <f t="shared" si="37"/>
        <v/>
      </c>
      <c r="G420" s="185"/>
      <c r="H420" s="185"/>
      <c r="I420" s="185"/>
      <c r="J420" s="201"/>
      <c r="K420" s="200"/>
      <c r="L420" s="200"/>
      <c r="M420" s="201"/>
      <c r="N420" s="201"/>
      <c r="P420" s="141" t="str">
        <f t="shared" si="38"/>
        <v/>
      </c>
      <c r="Q420" s="141" t="str">
        <f t="shared" si="39"/>
        <v/>
      </c>
      <c r="AA420" s="141" t="s">
        <v>1975</v>
      </c>
      <c r="AB420" s="141" t="s">
        <v>1976</v>
      </c>
    </row>
    <row r="421" spans="1:28">
      <c r="A421" s="151"/>
      <c r="B421" s="146" t="str">
        <f t="shared" si="35"/>
        <v/>
      </c>
      <c r="C421" s="151"/>
      <c r="D421" s="146" t="str">
        <f t="shared" si="36"/>
        <v/>
      </c>
      <c r="E421" s="186"/>
      <c r="F421" s="146" t="str">
        <f t="shared" si="37"/>
        <v/>
      </c>
      <c r="G421" s="185"/>
      <c r="H421" s="185"/>
      <c r="I421" s="185"/>
      <c r="J421" s="201"/>
      <c r="K421" s="200"/>
      <c r="L421" s="200"/>
      <c r="M421" s="201"/>
      <c r="N421" s="201"/>
      <c r="P421" s="141" t="str">
        <f t="shared" si="38"/>
        <v/>
      </c>
      <c r="Q421" s="141" t="str">
        <f t="shared" si="39"/>
        <v/>
      </c>
      <c r="AA421" s="141" t="s">
        <v>1977</v>
      </c>
      <c r="AB421" s="141" t="s">
        <v>1978</v>
      </c>
    </row>
    <row r="422" spans="1:28">
      <c r="A422" s="151"/>
      <c r="B422" s="146" t="str">
        <f t="shared" si="35"/>
        <v/>
      </c>
      <c r="C422" s="151"/>
      <c r="D422" s="146" t="str">
        <f t="shared" si="36"/>
        <v/>
      </c>
      <c r="E422" s="186"/>
      <c r="F422" s="146" t="str">
        <f t="shared" si="37"/>
        <v/>
      </c>
      <c r="G422" s="185"/>
      <c r="H422" s="185"/>
      <c r="I422" s="185"/>
      <c r="J422" s="201"/>
      <c r="K422" s="200"/>
      <c r="L422" s="200"/>
      <c r="M422" s="201"/>
      <c r="N422" s="201"/>
      <c r="P422" s="141" t="str">
        <f t="shared" si="38"/>
        <v/>
      </c>
      <c r="Q422" s="141" t="str">
        <f t="shared" si="39"/>
        <v/>
      </c>
      <c r="AA422" s="141" t="s">
        <v>1979</v>
      </c>
      <c r="AB422" s="141" t="s">
        <v>1980</v>
      </c>
    </row>
    <row r="423" spans="1:28">
      <c r="A423" s="151"/>
      <c r="B423" s="146" t="str">
        <f t="shared" si="35"/>
        <v/>
      </c>
      <c r="C423" s="151"/>
      <c r="D423" s="146" t="str">
        <f t="shared" si="36"/>
        <v/>
      </c>
      <c r="E423" s="186"/>
      <c r="F423" s="146" t="str">
        <f t="shared" si="37"/>
        <v/>
      </c>
      <c r="G423" s="185"/>
      <c r="H423" s="185"/>
      <c r="I423" s="185"/>
      <c r="J423" s="201"/>
      <c r="K423" s="200"/>
      <c r="L423" s="200"/>
      <c r="M423" s="201"/>
      <c r="N423" s="201"/>
      <c r="P423" s="141" t="str">
        <f t="shared" si="38"/>
        <v/>
      </c>
      <c r="Q423" s="141" t="str">
        <f t="shared" si="39"/>
        <v/>
      </c>
      <c r="AA423" s="141" t="s">
        <v>1981</v>
      </c>
      <c r="AB423" s="141" t="s">
        <v>1982</v>
      </c>
    </row>
    <row r="424" spans="1:28">
      <c r="A424" s="151"/>
      <c r="B424" s="146" t="str">
        <f t="shared" si="35"/>
        <v/>
      </c>
      <c r="C424" s="151"/>
      <c r="D424" s="146" t="str">
        <f t="shared" si="36"/>
        <v/>
      </c>
      <c r="E424" s="186"/>
      <c r="F424" s="146" t="str">
        <f t="shared" si="37"/>
        <v/>
      </c>
      <c r="G424" s="185"/>
      <c r="H424" s="185"/>
      <c r="I424" s="185"/>
      <c r="J424" s="201"/>
      <c r="K424" s="200"/>
      <c r="L424" s="200"/>
      <c r="M424" s="201"/>
      <c r="N424" s="201"/>
      <c r="P424" s="141" t="str">
        <f t="shared" si="38"/>
        <v/>
      </c>
      <c r="Q424" s="141" t="str">
        <f t="shared" si="39"/>
        <v/>
      </c>
      <c r="AA424" s="141" t="s">
        <v>1983</v>
      </c>
      <c r="AB424" s="141" t="s">
        <v>1984</v>
      </c>
    </row>
    <row r="425" spans="1:28">
      <c r="A425" s="151"/>
      <c r="B425" s="146" t="str">
        <f t="shared" si="35"/>
        <v/>
      </c>
      <c r="C425" s="151"/>
      <c r="D425" s="146" t="str">
        <f t="shared" si="36"/>
        <v/>
      </c>
      <c r="E425" s="186"/>
      <c r="F425" s="146" t="str">
        <f t="shared" si="37"/>
        <v/>
      </c>
      <c r="G425" s="185"/>
      <c r="H425" s="185"/>
      <c r="I425" s="185"/>
      <c r="J425" s="201"/>
      <c r="K425" s="200"/>
      <c r="L425" s="200"/>
      <c r="M425" s="201"/>
      <c r="N425" s="201"/>
      <c r="P425" s="141" t="str">
        <f t="shared" si="38"/>
        <v/>
      </c>
      <c r="Q425" s="141" t="str">
        <f t="shared" si="39"/>
        <v/>
      </c>
      <c r="AA425" s="141" t="s">
        <v>1985</v>
      </c>
      <c r="AB425" s="141" t="s">
        <v>1986</v>
      </c>
    </row>
    <row r="426" spans="1:28">
      <c r="A426" s="151"/>
      <c r="B426" s="146" t="str">
        <f t="shared" si="35"/>
        <v/>
      </c>
      <c r="C426" s="151"/>
      <c r="D426" s="146" t="str">
        <f t="shared" si="36"/>
        <v/>
      </c>
      <c r="E426" s="186"/>
      <c r="F426" s="146" t="str">
        <f t="shared" si="37"/>
        <v/>
      </c>
      <c r="G426" s="185"/>
      <c r="H426" s="185"/>
      <c r="I426" s="185"/>
      <c r="J426" s="201"/>
      <c r="K426" s="200"/>
      <c r="L426" s="200"/>
      <c r="M426" s="201"/>
      <c r="N426" s="201"/>
      <c r="P426" s="141" t="str">
        <f t="shared" si="38"/>
        <v/>
      </c>
      <c r="Q426" s="141" t="str">
        <f t="shared" si="39"/>
        <v/>
      </c>
      <c r="AA426" s="141" t="s">
        <v>1987</v>
      </c>
      <c r="AB426" s="141" t="s">
        <v>1988</v>
      </c>
    </row>
    <row r="427" spans="1:28">
      <c r="A427" s="151"/>
      <c r="B427" s="146" t="str">
        <f t="shared" si="35"/>
        <v/>
      </c>
      <c r="C427" s="151"/>
      <c r="D427" s="146" t="str">
        <f t="shared" si="36"/>
        <v/>
      </c>
      <c r="E427" s="186"/>
      <c r="F427" s="146" t="str">
        <f t="shared" si="37"/>
        <v/>
      </c>
      <c r="G427" s="185"/>
      <c r="H427" s="185"/>
      <c r="I427" s="185"/>
      <c r="J427" s="201"/>
      <c r="K427" s="200"/>
      <c r="L427" s="200"/>
      <c r="M427" s="201"/>
      <c r="N427" s="201"/>
      <c r="P427" s="141" t="str">
        <f t="shared" si="38"/>
        <v/>
      </c>
      <c r="Q427" s="141" t="str">
        <f t="shared" si="39"/>
        <v/>
      </c>
      <c r="AA427" s="141" t="s">
        <v>1989</v>
      </c>
      <c r="AB427" s="141" t="s">
        <v>1990</v>
      </c>
    </row>
    <row r="428" spans="1:28">
      <c r="A428" s="151"/>
      <c r="B428" s="146" t="str">
        <f t="shared" si="35"/>
        <v/>
      </c>
      <c r="C428" s="151"/>
      <c r="D428" s="146" t="str">
        <f t="shared" si="36"/>
        <v/>
      </c>
      <c r="E428" s="186"/>
      <c r="F428" s="146" t="str">
        <f t="shared" si="37"/>
        <v/>
      </c>
      <c r="G428" s="185"/>
      <c r="H428" s="185"/>
      <c r="I428" s="185"/>
      <c r="J428" s="201"/>
      <c r="K428" s="200"/>
      <c r="L428" s="200"/>
      <c r="M428" s="201"/>
      <c r="N428" s="201"/>
      <c r="P428" s="141" t="str">
        <f t="shared" si="38"/>
        <v/>
      </c>
      <c r="Q428" s="141" t="str">
        <f t="shared" si="39"/>
        <v/>
      </c>
      <c r="AA428" s="141" t="s">
        <v>1991</v>
      </c>
      <c r="AB428" s="141" t="s">
        <v>1992</v>
      </c>
    </row>
    <row r="429" spans="1:28">
      <c r="A429" s="151"/>
      <c r="B429" s="146" t="str">
        <f t="shared" si="35"/>
        <v/>
      </c>
      <c r="C429" s="151"/>
      <c r="D429" s="146" t="str">
        <f t="shared" si="36"/>
        <v/>
      </c>
      <c r="E429" s="186"/>
      <c r="F429" s="146" t="str">
        <f t="shared" si="37"/>
        <v/>
      </c>
      <c r="G429" s="185"/>
      <c r="H429" s="185"/>
      <c r="I429" s="185"/>
      <c r="J429" s="201"/>
      <c r="K429" s="200"/>
      <c r="L429" s="200"/>
      <c r="M429" s="201"/>
      <c r="N429" s="201"/>
      <c r="P429" s="141" t="str">
        <f t="shared" si="38"/>
        <v/>
      </c>
      <c r="Q429" s="141" t="str">
        <f t="shared" si="39"/>
        <v/>
      </c>
      <c r="AA429" s="141" t="s">
        <v>1993</v>
      </c>
      <c r="AB429" s="141" t="s">
        <v>1994</v>
      </c>
    </row>
    <row r="430" spans="1:28">
      <c r="A430" s="151"/>
      <c r="B430" s="146" t="str">
        <f t="shared" si="35"/>
        <v/>
      </c>
      <c r="C430" s="151"/>
      <c r="D430" s="146" t="str">
        <f t="shared" si="36"/>
        <v/>
      </c>
      <c r="E430" s="186"/>
      <c r="F430" s="146" t="str">
        <f t="shared" si="37"/>
        <v/>
      </c>
      <c r="G430" s="185"/>
      <c r="H430" s="185"/>
      <c r="I430" s="185"/>
      <c r="J430" s="201"/>
      <c r="K430" s="200"/>
      <c r="L430" s="200"/>
      <c r="M430" s="201"/>
      <c r="N430" s="201"/>
      <c r="P430" s="141" t="str">
        <f t="shared" si="38"/>
        <v/>
      </c>
      <c r="Q430" s="141" t="str">
        <f t="shared" si="39"/>
        <v/>
      </c>
      <c r="AA430" s="141" t="s">
        <v>1995</v>
      </c>
      <c r="AB430" s="141" t="s">
        <v>1996</v>
      </c>
    </row>
    <row r="431" spans="1:28">
      <c r="A431" s="151"/>
      <c r="B431" s="146" t="str">
        <f t="shared" si="35"/>
        <v/>
      </c>
      <c r="C431" s="151"/>
      <c r="D431" s="146" t="str">
        <f t="shared" si="36"/>
        <v/>
      </c>
      <c r="E431" s="186"/>
      <c r="F431" s="146" t="str">
        <f t="shared" si="37"/>
        <v/>
      </c>
      <c r="G431" s="185"/>
      <c r="H431" s="185"/>
      <c r="I431" s="185"/>
      <c r="J431" s="201"/>
      <c r="K431" s="200"/>
      <c r="L431" s="200"/>
      <c r="M431" s="201"/>
      <c r="N431" s="201"/>
      <c r="P431" s="141" t="str">
        <f t="shared" si="38"/>
        <v/>
      </c>
      <c r="Q431" s="141" t="str">
        <f t="shared" si="39"/>
        <v/>
      </c>
      <c r="AA431" s="141" t="s">
        <v>1997</v>
      </c>
      <c r="AB431" s="141" t="s">
        <v>1998</v>
      </c>
    </row>
    <row r="432" spans="1:28">
      <c r="A432" s="151"/>
      <c r="B432" s="146" t="str">
        <f t="shared" si="35"/>
        <v/>
      </c>
      <c r="C432" s="151"/>
      <c r="D432" s="146" t="str">
        <f t="shared" si="36"/>
        <v/>
      </c>
      <c r="E432" s="186"/>
      <c r="F432" s="146" t="str">
        <f t="shared" si="37"/>
        <v/>
      </c>
      <c r="G432" s="185"/>
      <c r="H432" s="185"/>
      <c r="I432" s="185"/>
      <c r="J432" s="201"/>
      <c r="K432" s="200"/>
      <c r="L432" s="200"/>
      <c r="M432" s="201"/>
      <c r="N432" s="201"/>
      <c r="P432" s="141" t="str">
        <f t="shared" si="38"/>
        <v/>
      </c>
      <c r="Q432" s="141" t="str">
        <f t="shared" si="39"/>
        <v/>
      </c>
      <c r="AA432" s="141" t="s">
        <v>1999</v>
      </c>
      <c r="AB432" s="141" t="s">
        <v>2000</v>
      </c>
    </row>
    <row r="433" spans="1:28">
      <c r="A433" s="151"/>
      <c r="B433" s="146" t="str">
        <f t="shared" si="35"/>
        <v/>
      </c>
      <c r="C433" s="151"/>
      <c r="D433" s="146" t="str">
        <f t="shared" si="36"/>
        <v/>
      </c>
      <c r="E433" s="186"/>
      <c r="F433" s="146" t="str">
        <f t="shared" si="37"/>
        <v/>
      </c>
      <c r="G433" s="185"/>
      <c r="H433" s="185"/>
      <c r="I433" s="185"/>
      <c r="J433" s="201"/>
      <c r="K433" s="200"/>
      <c r="L433" s="200"/>
      <c r="M433" s="201"/>
      <c r="N433" s="201"/>
      <c r="P433" s="141" t="str">
        <f t="shared" si="38"/>
        <v/>
      </c>
      <c r="Q433" s="141" t="str">
        <f t="shared" si="39"/>
        <v/>
      </c>
      <c r="AA433" s="141" t="s">
        <v>2001</v>
      </c>
      <c r="AB433" s="141" t="s">
        <v>2002</v>
      </c>
    </row>
    <row r="434" spans="1:28">
      <c r="A434" s="151"/>
      <c r="B434" s="146" t="str">
        <f t="shared" si="35"/>
        <v/>
      </c>
      <c r="C434" s="151"/>
      <c r="D434" s="146" t="str">
        <f t="shared" si="36"/>
        <v/>
      </c>
      <c r="E434" s="186"/>
      <c r="F434" s="146" t="str">
        <f t="shared" si="37"/>
        <v/>
      </c>
      <c r="G434" s="185"/>
      <c r="H434" s="185"/>
      <c r="I434" s="185"/>
      <c r="J434" s="201"/>
      <c r="K434" s="200"/>
      <c r="L434" s="200"/>
      <c r="M434" s="201"/>
      <c r="N434" s="201"/>
      <c r="P434" s="141" t="str">
        <f t="shared" si="38"/>
        <v/>
      </c>
      <c r="Q434" s="141" t="str">
        <f t="shared" si="39"/>
        <v/>
      </c>
      <c r="AA434" s="141" t="s">
        <v>2003</v>
      </c>
      <c r="AB434" s="141" t="s">
        <v>2004</v>
      </c>
    </row>
    <row r="435" spans="1:28">
      <c r="A435" s="151"/>
      <c r="B435" s="146" t="str">
        <f t="shared" si="35"/>
        <v/>
      </c>
      <c r="C435" s="151"/>
      <c r="D435" s="146" t="str">
        <f t="shared" si="36"/>
        <v/>
      </c>
      <c r="E435" s="186"/>
      <c r="F435" s="146" t="str">
        <f t="shared" si="37"/>
        <v/>
      </c>
      <c r="G435" s="185"/>
      <c r="H435" s="185"/>
      <c r="I435" s="185"/>
      <c r="J435" s="201"/>
      <c r="K435" s="200"/>
      <c r="L435" s="200"/>
      <c r="M435" s="201"/>
      <c r="N435" s="201"/>
      <c r="P435" s="141" t="str">
        <f t="shared" si="38"/>
        <v/>
      </c>
      <c r="Q435" s="141" t="str">
        <f t="shared" si="39"/>
        <v/>
      </c>
      <c r="AA435" s="141" t="s">
        <v>2005</v>
      </c>
      <c r="AB435" s="141" t="s">
        <v>2006</v>
      </c>
    </row>
    <row r="436" spans="1:28">
      <c r="A436" s="151"/>
      <c r="B436" s="146" t="str">
        <f t="shared" si="35"/>
        <v/>
      </c>
      <c r="C436" s="151"/>
      <c r="D436" s="146" t="str">
        <f t="shared" si="36"/>
        <v/>
      </c>
      <c r="E436" s="186"/>
      <c r="F436" s="146" t="str">
        <f t="shared" si="37"/>
        <v/>
      </c>
      <c r="G436" s="185"/>
      <c r="H436" s="185"/>
      <c r="I436" s="185"/>
      <c r="J436" s="201"/>
      <c r="K436" s="200"/>
      <c r="L436" s="200"/>
      <c r="M436" s="201"/>
      <c r="N436" s="201"/>
      <c r="P436" s="141" t="str">
        <f t="shared" si="38"/>
        <v/>
      </c>
      <c r="Q436" s="141" t="str">
        <f t="shared" si="39"/>
        <v/>
      </c>
      <c r="AA436" s="141" t="s">
        <v>2007</v>
      </c>
      <c r="AB436" s="141" t="s">
        <v>2008</v>
      </c>
    </row>
    <row r="437" spans="1:28">
      <c r="A437" s="151"/>
      <c r="B437" s="146" t="str">
        <f t="shared" si="35"/>
        <v/>
      </c>
      <c r="C437" s="151"/>
      <c r="D437" s="146" t="str">
        <f t="shared" si="36"/>
        <v/>
      </c>
      <c r="E437" s="186"/>
      <c r="F437" s="146" t="str">
        <f t="shared" si="37"/>
        <v/>
      </c>
      <c r="G437" s="185"/>
      <c r="H437" s="185"/>
      <c r="I437" s="185"/>
      <c r="J437" s="201"/>
      <c r="K437" s="200"/>
      <c r="L437" s="200"/>
      <c r="M437" s="201"/>
      <c r="N437" s="201"/>
      <c r="P437" s="141" t="str">
        <f t="shared" si="38"/>
        <v/>
      </c>
      <c r="Q437" s="141" t="str">
        <f t="shared" si="39"/>
        <v/>
      </c>
      <c r="AA437" s="141" t="s">
        <v>2009</v>
      </c>
      <c r="AB437" s="141" t="s">
        <v>2010</v>
      </c>
    </row>
    <row r="438" spans="1:28">
      <c r="A438" s="151"/>
      <c r="B438" s="146" t="str">
        <f t="shared" si="35"/>
        <v/>
      </c>
      <c r="C438" s="151"/>
      <c r="D438" s="146" t="str">
        <f t="shared" si="36"/>
        <v/>
      </c>
      <c r="E438" s="186"/>
      <c r="F438" s="146" t="str">
        <f t="shared" si="37"/>
        <v/>
      </c>
      <c r="G438" s="185"/>
      <c r="H438" s="185"/>
      <c r="I438" s="185"/>
      <c r="J438" s="201"/>
      <c r="K438" s="200"/>
      <c r="L438" s="200"/>
      <c r="M438" s="201"/>
      <c r="N438" s="201"/>
      <c r="P438" s="141" t="str">
        <f t="shared" si="38"/>
        <v/>
      </c>
      <c r="Q438" s="141" t="str">
        <f t="shared" si="39"/>
        <v/>
      </c>
      <c r="AA438" s="141" t="s">
        <v>2011</v>
      </c>
      <c r="AB438" s="141" t="s">
        <v>2012</v>
      </c>
    </row>
    <row r="439" spans="1:28">
      <c r="A439" s="151"/>
      <c r="B439" s="146" t="str">
        <f t="shared" si="35"/>
        <v/>
      </c>
      <c r="C439" s="151"/>
      <c r="D439" s="146" t="str">
        <f t="shared" si="36"/>
        <v/>
      </c>
      <c r="E439" s="186"/>
      <c r="F439" s="146" t="str">
        <f t="shared" si="37"/>
        <v/>
      </c>
      <c r="G439" s="185"/>
      <c r="H439" s="185"/>
      <c r="I439" s="185"/>
      <c r="J439" s="201"/>
      <c r="K439" s="200"/>
      <c r="L439" s="200"/>
      <c r="M439" s="201"/>
      <c r="N439" s="201"/>
      <c r="P439" s="141" t="str">
        <f t="shared" si="38"/>
        <v/>
      </c>
      <c r="Q439" s="141" t="str">
        <f t="shared" si="39"/>
        <v/>
      </c>
      <c r="AA439" s="141" t="s">
        <v>2013</v>
      </c>
      <c r="AB439" s="141" t="s">
        <v>2014</v>
      </c>
    </row>
    <row r="440" spans="1:28">
      <c r="A440" s="151"/>
      <c r="B440" s="146" t="str">
        <f t="shared" si="35"/>
        <v/>
      </c>
      <c r="C440" s="151"/>
      <c r="D440" s="146" t="str">
        <f t="shared" si="36"/>
        <v/>
      </c>
      <c r="E440" s="186"/>
      <c r="F440" s="146" t="str">
        <f t="shared" si="37"/>
        <v/>
      </c>
      <c r="G440" s="185"/>
      <c r="H440" s="185"/>
      <c r="I440" s="185"/>
      <c r="J440" s="201"/>
      <c r="K440" s="200"/>
      <c r="L440" s="200"/>
      <c r="M440" s="201"/>
      <c r="N440" s="201"/>
      <c r="P440" s="141" t="str">
        <f t="shared" si="38"/>
        <v/>
      </c>
      <c r="Q440" s="141" t="str">
        <f t="shared" si="39"/>
        <v/>
      </c>
      <c r="AA440" s="141" t="s">
        <v>2015</v>
      </c>
      <c r="AB440" s="141" t="s">
        <v>2016</v>
      </c>
    </row>
    <row r="441" spans="1:28">
      <c r="A441" s="151"/>
      <c r="B441" s="146" t="str">
        <f t="shared" si="35"/>
        <v/>
      </c>
      <c r="C441" s="151"/>
      <c r="D441" s="146" t="str">
        <f t="shared" si="36"/>
        <v/>
      </c>
      <c r="E441" s="186"/>
      <c r="F441" s="146" t="str">
        <f t="shared" si="37"/>
        <v/>
      </c>
      <c r="G441" s="185"/>
      <c r="H441" s="185"/>
      <c r="I441" s="185"/>
      <c r="J441" s="201"/>
      <c r="K441" s="200"/>
      <c r="L441" s="200"/>
      <c r="M441" s="201"/>
      <c r="N441" s="201"/>
      <c r="P441" s="141" t="str">
        <f t="shared" si="38"/>
        <v/>
      </c>
      <c r="Q441" s="141" t="str">
        <f t="shared" si="39"/>
        <v/>
      </c>
      <c r="AA441" s="141" t="s">
        <v>2017</v>
      </c>
      <c r="AB441" s="141" t="s">
        <v>2018</v>
      </c>
    </row>
    <row r="442" spans="1:28">
      <c r="A442" s="151"/>
      <c r="B442" s="146" t="str">
        <f t="shared" si="35"/>
        <v/>
      </c>
      <c r="C442" s="151"/>
      <c r="D442" s="146" t="str">
        <f t="shared" si="36"/>
        <v/>
      </c>
      <c r="E442" s="186"/>
      <c r="F442" s="146" t="str">
        <f t="shared" si="37"/>
        <v/>
      </c>
      <c r="G442" s="185"/>
      <c r="H442" s="185"/>
      <c r="I442" s="185"/>
      <c r="J442" s="201"/>
      <c r="K442" s="200"/>
      <c r="L442" s="200"/>
      <c r="M442" s="201"/>
      <c r="N442" s="201"/>
      <c r="P442" s="141" t="str">
        <f t="shared" si="38"/>
        <v/>
      </c>
      <c r="Q442" s="141" t="str">
        <f t="shared" si="39"/>
        <v/>
      </c>
      <c r="AA442" s="141" t="s">
        <v>2019</v>
      </c>
      <c r="AB442" s="141" t="s">
        <v>2020</v>
      </c>
    </row>
    <row r="443" spans="1:28">
      <c r="A443" s="151"/>
      <c r="B443" s="146" t="str">
        <f t="shared" si="35"/>
        <v/>
      </c>
      <c r="C443" s="151"/>
      <c r="D443" s="146" t="str">
        <f t="shared" si="36"/>
        <v/>
      </c>
      <c r="E443" s="186"/>
      <c r="F443" s="146" t="str">
        <f t="shared" si="37"/>
        <v/>
      </c>
      <c r="G443" s="185"/>
      <c r="H443" s="185"/>
      <c r="I443" s="185"/>
      <c r="J443" s="201"/>
      <c r="K443" s="200"/>
      <c r="L443" s="200"/>
      <c r="M443" s="201"/>
      <c r="N443" s="201"/>
      <c r="P443" s="141" t="str">
        <f t="shared" si="38"/>
        <v/>
      </c>
      <c r="Q443" s="141" t="str">
        <f t="shared" si="39"/>
        <v/>
      </c>
      <c r="AA443" s="141" t="s">
        <v>2021</v>
      </c>
      <c r="AB443" s="141" t="s">
        <v>2022</v>
      </c>
    </row>
    <row r="444" spans="1:28">
      <c r="A444" s="151"/>
      <c r="B444" s="146" t="str">
        <f t="shared" si="35"/>
        <v/>
      </c>
      <c r="C444" s="151"/>
      <c r="D444" s="146" t="str">
        <f t="shared" si="36"/>
        <v/>
      </c>
      <c r="E444" s="186"/>
      <c r="F444" s="146" t="str">
        <f t="shared" si="37"/>
        <v/>
      </c>
      <c r="G444" s="185"/>
      <c r="H444" s="185"/>
      <c r="I444" s="185"/>
      <c r="J444" s="201"/>
      <c r="K444" s="200"/>
      <c r="L444" s="200"/>
      <c r="M444" s="201"/>
      <c r="N444" s="201"/>
      <c r="P444" s="141" t="str">
        <f t="shared" si="38"/>
        <v/>
      </c>
      <c r="Q444" s="141" t="str">
        <f t="shared" si="39"/>
        <v/>
      </c>
      <c r="AA444" s="141" t="s">
        <v>1190</v>
      </c>
      <c r="AB444" s="141" t="s">
        <v>347</v>
      </c>
    </row>
    <row r="445" spans="1:28">
      <c r="A445" s="151"/>
      <c r="B445" s="146" t="str">
        <f t="shared" si="35"/>
        <v/>
      </c>
      <c r="C445" s="151"/>
      <c r="D445" s="146" t="str">
        <f t="shared" si="36"/>
        <v/>
      </c>
      <c r="E445" s="186"/>
      <c r="F445" s="146" t="str">
        <f t="shared" si="37"/>
        <v/>
      </c>
      <c r="G445" s="185"/>
      <c r="H445" s="185"/>
      <c r="I445" s="185"/>
      <c r="J445" s="201"/>
      <c r="K445" s="200"/>
      <c r="L445" s="200"/>
      <c r="M445" s="201"/>
      <c r="N445" s="201"/>
      <c r="P445" s="141" t="str">
        <f t="shared" si="38"/>
        <v/>
      </c>
      <c r="Q445" s="141" t="str">
        <f t="shared" si="39"/>
        <v/>
      </c>
      <c r="AA445" s="141" t="s">
        <v>1191</v>
      </c>
      <c r="AB445" s="141" t="s">
        <v>348</v>
      </c>
    </row>
    <row r="446" spans="1:28">
      <c r="A446" s="151"/>
      <c r="B446" s="146" t="str">
        <f t="shared" si="35"/>
        <v/>
      </c>
      <c r="C446" s="151"/>
      <c r="D446" s="146" t="str">
        <f t="shared" si="36"/>
        <v/>
      </c>
      <c r="E446" s="186"/>
      <c r="F446" s="146" t="str">
        <f t="shared" si="37"/>
        <v/>
      </c>
      <c r="G446" s="185"/>
      <c r="H446" s="185"/>
      <c r="I446" s="185"/>
      <c r="J446" s="201"/>
      <c r="K446" s="200"/>
      <c r="L446" s="200"/>
      <c r="M446" s="201"/>
      <c r="N446" s="201"/>
      <c r="P446" s="141" t="str">
        <f t="shared" si="38"/>
        <v/>
      </c>
      <c r="Q446" s="141" t="str">
        <f t="shared" si="39"/>
        <v/>
      </c>
      <c r="AA446" s="141" t="s">
        <v>1192</v>
      </c>
      <c r="AB446" s="141" t="s">
        <v>1193</v>
      </c>
    </row>
    <row r="447" spans="1:28">
      <c r="A447" s="151"/>
      <c r="B447" s="146" t="str">
        <f t="shared" si="35"/>
        <v/>
      </c>
      <c r="C447" s="151"/>
      <c r="D447" s="146" t="str">
        <f t="shared" si="36"/>
        <v/>
      </c>
      <c r="E447" s="186"/>
      <c r="F447" s="146" t="str">
        <f t="shared" si="37"/>
        <v/>
      </c>
      <c r="G447" s="185"/>
      <c r="H447" s="185"/>
      <c r="I447" s="185"/>
      <c r="J447" s="201"/>
      <c r="K447" s="200"/>
      <c r="L447" s="200"/>
      <c r="M447" s="201"/>
      <c r="N447" s="201"/>
      <c r="P447" s="141" t="str">
        <f t="shared" si="38"/>
        <v/>
      </c>
      <c r="Q447" s="141" t="str">
        <f t="shared" si="39"/>
        <v/>
      </c>
      <c r="AA447" s="141" t="s">
        <v>1194</v>
      </c>
      <c r="AB447" s="141" t="s">
        <v>1111</v>
      </c>
    </row>
    <row r="448" spans="1:28">
      <c r="A448" s="151"/>
      <c r="B448" s="146" t="str">
        <f t="shared" si="35"/>
        <v/>
      </c>
      <c r="C448" s="151"/>
      <c r="D448" s="146" t="str">
        <f t="shared" si="36"/>
        <v/>
      </c>
      <c r="E448" s="186"/>
      <c r="F448" s="146" t="str">
        <f t="shared" si="37"/>
        <v/>
      </c>
      <c r="G448" s="185"/>
      <c r="H448" s="185"/>
      <c r="I448" s="185"/>
      <c r="J448" s="201"/>
      <c r="K448" s="200"/>
      <c r="L448" s="200"/>
      <c r="M448" s="201"/>
      <c r="N448" s="201"/>
      <c r="P448" s="141" t="str">
        <f t="shared" si="38"/>
        <v/>
      </c>
      <c r="Q448" s="141" t="str">
        <f t="shared" si="39"/>
        <v/>
      </c>
      <c r="AA448" s="141" t="s">
        <v>2023</v>
      </c>
    </row>
    <row r="449" spans="1:28">
      <c r="A449" s="151"/>
      <c r="B449" s="146" t="str">
        <f t="shared" si="35"/>
        <v/>
      </c>
      <c r="C449" s="151"/>
      <c r="D449" s="146" t="str">
        <f t="shared" si="36"/>
        <v/>
      </c>
      <c r="E449" s="186"/>
      <c r="F449" s="146" t="str">
        <f t="shared" si="37"/>
        <v/>
      </c>
      <c r="G449" s="185"/>
      <c r="H449" s="185"/>
      <c r="I449" s="185"/>
      <c r="J449" s="201"/>
      <c r="K449" s="200"/>
      <c r="L449" s="200"/>
      <c r="M449" s="201"/>
      <c r="N449" s="201"/>
      <c r="P449" s="141" t="str">
        <f t="shared" si="38"/>
        <v/>
      </c>
      <c r="Q449" s="141" t="str">
        <f t="shared" si="39"/>
        <v/>
      </c>
      <c r="AA449" s="141" t="s">
        <v>2024</v>
      </c>
    </row>
    <row r="450" spans="1:28">
      <c r="A450" s="151"/>
      <c r="B450" s="146" t="str">
        <f t="shared" si="35"/>
        <v/>
      </c>
      <c r="C450" s="151"/>
      <c r="D450" s="146" t="str">
        <f t="shared" si="36"/>
        <v/>
      </c>
      <c r="E450" s="186"/>
      <c r="F450" s="146" t="str">
        <f t="shared" si="37"/>
        <v/>
      </c>
      <c r="G450" s="185"/>
      <c r="H450" s="185"/>
      <c r="I450" s="185"/>
      <c r="J450" s="201"/>
      <c r="K450" s="200"/>
      <c r="L450" s="200"/>
      <c r="M450" s="201"/>
      <c r="N450" s="201"/>
      <c r="P450" s="141" t="str">
        <f t="shared" si="38"/>
        <v/>
      </c>
      <c r="Q450" s="141" t="str">
        <f t="shared" si="39"/>
        <v/>
      </c>
      <c r="AA450" s="141" t="s">
        <v>2025</v>
      </c>
      <c r="AB450" s="141" t="s">
        <v>2026</v>
      </c>
    </row>
    <row r="451" spans="1:28">
      <c r="A451" s="151"/>
      <c r="B451" s="146" t="str">
        <f t="shared" si="35"/>
        <v/>
      </c>
      <c r="C451" s="151"/>
      <c r="D451" s="146" t="str">
        <f t="shared" si="36"/>
        <v/>
      </c>
      <c r="E451" s="186"/>
      <c r="F451" s="146" t="str">
        <f t="shared" si="37"/>
        <v/>
      </c>
      <c r="G451" s="185"/>
      <c r="H451" s="185"/>
      <c r="I451" s="185"/>
      <c r="J451" s="201"/>
      <c r="K451" s="200"/>
      <c r="L451" s="200"/>
      <c r="M451" s="201"/>
      <c r="N451" s="201"/>
      <c r="P451" s="141" t="str">
        <f t="shared" si="38"/>
        <v/>
      </c>
      <c r="Q451" s="141" t="str">
        <f t="shared" si="39"/>
        <v/>
      </c>
      <c r="AA451" s="141" t="s">
        <v>2027</v>
      </c>
      <c r="AB451" s="141" t="s">
        <v>1495</v>
      </c>
    </row>
    <row r="452" spans="1:28">
      <c r="A452" s="151"/>
      <c r="B452" s="146" t="str">
        <f t="shared" ref="B452:B501" si="40">IFERROR(VLOOKUP(A452,$R$6:$S$23,2,FALSE),"")</f>
        <v/>
      </c>
      <c r="C452" s="151"/>
      <c r="D452" s="146" t="str">
        <f t="shared" ref="D452:D501" si="41">IFERROR(VLOOKUP(C452,$U$5:$W$129,2,FALSE),"")</f>
        <v/>
      </c>
      <c r="E452" s="186"/>
      <c r="F452" s="146" t="str">
        <f t="shared" ref="F452:F501" si="42">IFERROR(VLOOKUP(E452,$AA$5:$AB$500,2,FALSE),"")</f>
        <v/>
      </c>
      <c r="G452" s="185"/>
      <c r="H452" s="185"/>
      <c r="I452" s="185"/>
      <c r="J452" s="201"/>
      <c r="K452" s="200"/>
      <c r="L452" s="200"/>
      <c r="M452" s="201"/>
      <c r="N452" s="201"/>
      <c r="P452" s="141" t="str">
        <f t="shared" ref="P452:P501" si="43">LEFT(C452,3)</f>
        <v/>
      </c>
      <c r="Q452" s="141" t="str">
        <f t="shared" ref="Q452:Q501" si="44">LEFT(C452,2)</f>
        <v/>
      </c>
      <c r="AA452" s="141" t="s">
        <v>1509</v>
      </c>
      <c r="AB452" s="141" t="s">
        <v>1510</v>
      </c>
    </row>
    <row r="453" spans="1:28">
      <c r="A453" s="151"/>
      <c r="B453" s="146" t="str">
        <f t="shared" si="40"/>
        <v/>
      </c>
      <c r="C453" s="151"/>
      <c r="D453" s="146" t="str">
        <f t="shared" si="41"/>
        <v/>
      </c>
      <c r="E453" s="186"/>
      <c r="F453" s="146" t="str">
        <f t="shared" si="42"/>
        <v/>
      </c>
      <c r="G453" s="185"/>
      <c r="H453" s="185"/>
      <c r="I453" s="185"/>
      <c r="J453" s="201"/>
      <c r="K453" s="200"/>
      <c r="L453" s="200"/>
      <c r="M453" s="201"/>
      <c r="N453" s="201"/>
      <c r="P453" s="141" t="str">
        <f t="shared" si="43"/>
        <v/>
      </c>
      <c r="Q453" s="141" t="str">
        <f t="shared" si="44"/>
        <v/>
      </c>
      <c r="AA453" s="141" t="s">
        <v>1511</v>
      </c>
      <c r="AB453" s="141" t="s">
        <v>1512</v>
      </c>
    </row>
    <row r="454" spans="1:28">
      <c r="A454" s="151"/>
      <c r="B454" s="146" t="str">
        <f t="shared" si="40"/>
        <v/>
      </c>
      <c r="C454" s="151"/>
      <c r="D454" s="146" t="str">
        <f t="shared" si="41"/>
        <v/>
      </c>
      <c r="E454" s="186"/>
      <c r="F454" s="146" t="str">
        <f t="shared" si="42"/>
        <v/>
      </c>
      <c r="G454" s="185"/>
      <c r="H454" s="185"/>
      <c r="I454" s="185"/>
      <c r="J454" s="201"/>
      <c r="K454" s="200"/>
      <c r="L454" s="200"/>
      <c r="M454" s="201"/>
      <c r="N454" s="201"/>
      <c r="P454" s="141" t="str">
        <f t="shared" si="43"/>
        <v/>
      </c>
      <c r="Q454" s="141" t="str">
        <f t="shared" si="44"/>
        <v/>
      </c>
      <c r="AA454" s="141" t="s">
        <v>1513</v>
      </c>
      <c r="AB454" s="141" t="s">
        <v>1514</v>
      </c>
    </row>
    <row r="455" spans="1:28">
      <c r="A455" s="151"/>
      <c r="B455" s="146" t="str">
        <f t="shared" si="40"/>
        <v/>
      </c>
      <c r="C455" s="151"/>
      <c r="D455" s="146" t="str">
        <f t="shared" si="41"/>
        <v/>
      </c>
      <c r="E455" s="186"/>
      <c r="F455" s="146" t="str">
        <f t="shared" si="42"/>
        <v/>
      </c>
      <c r="G455" s="185"/>
      <c r="H455" s="185"/>
      <c r="I455" s="185"/>
      <c r="J455" s="201"/>
      <c r="K455" s="200"/>
      <c r="L455" s="200"/>
      <c r="M455" s="201"/>
      <c r="N455" s="201"/>
      <c r="P455" s="141" t="str">
        <f t="shared" si="43"/>
        <v/>
      </c>
      <c r="Q455" s="141" t="str">
        <f t="shared" si="44"/>
        <v/>
      </c>
      <c r="AA455" s="141" t="s">
        <v>1515</v>
      </c>
      <c r="AB455" s="141" t="s">
        <v>1516</v>
      </c>
    </row>
    <row r="456" spans="1:28">
      <c r="A456" s="151"/>
      <c r="B456" s="146" t="str">
        <f t="shared" si="40"/>
        <v/>
      </c>
      <c r="C456" s="151"/>
      <c r="D456" s="146" t="str">
        <f t="shared" si="41"/>
        <v/>
      </c>
      <c r="E456" s="186"/>
      <c r="F456" s="146" t="str">
        <f t="shared" si="42"/>
        <v/>
      </c>
      <c r="G456" s="185"/>
      <c r="H456" s="185"/>
      <c r="I456" s="185"/>
      <c r="J456" s="201"/>
      <c r="K456" s="200"/>
      <c r="L456" s="200"/>
      <c r="M456" s="201"/>
      <c r="N456" s="201"/>
      <c r="P456" s="141" t="str">
        <f t="shared" si="43"/>
        <v/>
      </c>
      <c r="Q456" s="141" t="str">
        <f t="shared" si="44"/>
        <v/>
      </c>
      <c r="AA456" s="141" t="s">
        <v>1517</v>
      </c>
      <c r="AB456" s="141" t="s">
        <v>1518</v>
      </c>
    </row>
    <row r="457" spans="1:28">
      <c r="A457" s="151"/>
      <c r="B457" s="146" t="str">
        <f t="shared" si="40"/>
        <v/>
      </c>
      <c r="C457" s="151"/>
      <c r="D457" s="146" t="str">
        <f t="shared" si="41"/>
        <v/>
      </c>
      <c r="E457" s="186"/>
      <c r="F457" s="146" t="str">
        <f t="shared" si="42"/>
        <v/>
      </c>
      <c r="G457" s="185"/>
      <c r="H457" s="185"/>
      <c r="I457" s="185"/>
      <c r="J457" s="201"/>
      <c r="K457" s="200"/>
      <c r="L457" s="200"/>
      <c r="M457" s="201"/>
      <c r="N457" s="201"/>
      <c r="P457" s="141" t="str">
        <f t="shared" si="43"/>
        <v/>
      </c>
      <c r="Q457" s="141" t="str">
        <f t="shared" si="44"/>
        <v/>
      </c>
      <c r="AA457" s="141" t="s">
        <v>1519</v>
      </c>
      <c r="AB457" s="141" t="s">
        <v>1520</v>
      </c>
    </row>
    <row r="458" spans="1:28">
      <c r="A458" s="151"/>
      <c r="B458" s="146" t="str">
        <f t="shared" si="40"/>
        <v/>
      </c>
      <c r="C458" s="151"/>
      <c r="D458" s="146" t="str">
        <f t="shared" si="41"/>
        <v/>
      </c>
      <c r="E458" s="186"/>
      <c r="F458" s="146" t="str">
        <f t="shared" si="42"/>
        <v/>
      </c>
      <c r="G458" s="185"/>
      <c r="H458" s="185"/>
      <c r="I458" s="185"/>
      <c r="J458" s="201"/>
      <c r="K458" s="200"/>
      <c r="L458" s="200"/>
      <c r="M458" s="201"/>
      <c r="N458" s="201"/>
      <c r="P458" s="141" t="str">
        <f t="shared" si="43"/>
        <v/>
      </c>
      <c r="Q458" s="141" t="str">
        <f t="shared" si="44"/>
        <v/>
      </c>
      <c r="AA458" s="141" t="s">
        <v>1521</v>
      </c>
      <c r="AB458" s="141" t="s">
        <v>1522</v>
      </c>
    </row>
    <row r="459" spans="1:28">
      <c r="A459" s="151"/>
      <c r="B459" s="146" t="str">
        <f t="shared" si="40"/>
        <v/>
      </c>
      <c r="C459" s="151"/>
      <c r="D459" s="146" t="str">
        <f t="shared" si="41"/>
        <v/>
      </c>
      <c r="E459" s="186"/>
      <c r="F459" s="146" t="str">
        <f t="shared" si="42"/>
        <v/>
      </c>
      <c r="G459" s="185"/>
      <c r="H459" s="185"/>
      <c r="I459" s="185"/>
      <c r="J459" s="201"/>
      <c r="K459" s="200"/>
      <c r="L459" s="200"/>
      <c r="M459" s="201"/>
      <c r="N459" s="201"/>
      <c r="P459" s="141" t="str">
        <f t="shared" si="43"/>
        <v/>
      </c>
      <c r="Q459" s="141" t="str">
        <f t="shared" si="44"/>
        <v/>
      </c>
      <c r="AA459" s="141" t="s">
        <v>1523</v>
      </c>
      <c r="AB459" s="141" t="s">
        <v>1524</v>
      </c>
    </row>
    <row r="460" spans="1:28">
      <c r="A460" s="151"/>
      <c r="B460" s="146" t="str">
        <f t="shared" si="40"/>
        <v/>
      </c>
      <c r="C460" s="151"/>
      <c r="D460" s="146" t="str">
        <f t="shared" si="41"/>
        <v/>
      </c>
      <c r="E460" s="186"/>
      <c r="F460" s="146" t="str">
        <f t="shared" si="42"/>
        <v/>
      </c>
      <c r="G460" s="185"/>
      <c r="H460" s="185"/>
      <c r="I460" s="185"/>
      <c r="J460" s="201"/>
      <c r="K460" s="200"/>
      <c r="L460" s="200"/>
      <c r="M460" s="201"/>
      <c r="N460" s="201"/>
      <c r="P460" s="141" t="str">
        <f t="shared" si="43"/>
        <v/>
      </c>
      <c r="Q460" s="141" t="str">
        <f t="shared" si="44"/>
        <v/>
      </c>
      <c r="AA460" s="141" t="s">
        <v>1525</v>
      </c>
      <c r="AB460" s="141" t="s">
        <v>1526</v>
      </c>
    </row>
    <row r="461" spans="1:28">
      <c r="A461" s="151"/>
      <c r="B461" s="146" t="str">
        <f t="shared" si="40"/>
        <v/>
      </c>
      <c r="C461" s="151"/>
      <c r="D461" s="146" t="str">
        <f t="shared" si="41"/>
        <v/>
      </c>
      <c r="E461" s="186"/>
      <c r="F461" s="146" t="str">
        <f t="shared" si="42"/>
        <v/>
      </c>
      <c r="G461" s="185"/>
      <c r="H461" s="185"/>
      <c r="I461" s="185"/>
      <c r="J461" s="201"/>
      <c r="K461" s="200"/>
      <c r="L461" s="200"/>
      <c r="M461" s="201"/>
      <c r="N461" s="201"/>
      <c r="P461" s="141" t="str">
        <f t="shared" si="43"/>
        <v/>
      </c>
      <c r="Q461" s="141" t="str">
        <f t="shared" si="44"/>
        <v/>
      </c>
      <c r="AA461" s="141" t="s">
        <v>1527</v>
      </c>
      <c r="AB461" s="141" t="s">
        <v>1528</v>
      </c>
    </row>
    <row r="462" spans="1:28">
      <c r="A462" s="151"/>
      <c r="B462" s="146" t="str">
        <f t="shared" si="40"/>
        <v/>
      </c>
      <c r="C462" s="151"/>
      <c r="D462" s="146" t="str">
        <f t="shared" si="41"/>
        <v/>
      </c>
      <c r="E462" s="186"/>
      <c r="F462" s="146" t="str">
        <f t="shared" si="42"/>
        <v/>
      </c>
      <c r="G462" s="185"/>
      <c r="H462" s="185"/>
      <c r="I462" s="185"/>
      <c r="J462" s="201"/>
      <c r="K462" s="200"/>
      <c r="L462" s="200"/>
      <c r="M462" s="201"/>
      <c r="N462" s="201"/>
      <c r="P462" s="141" t="str">
        <f t="shared" si="43"/>
        <v/>
      </c>
      <c r="Q462" s="141" t="str">
        <f t="shared" si="44"/>
        <v/>
      </c>
      <c r="AA462" s="141" t="s">
        <v>1529</v>
      </c>
      <c r="AB462" s="141" t="s">
        <v>1530</v>
      </c>
    </row>
    <row r="463" spans="1:28">
      <c r="A463" s="151"/>
      <c r="B463" s="146" t="str">
        <f t="shared" si="40"/>
        <v/>
      </c>
      <c r="C463" s="151"/>
      <c r="D463" s="146" t="str">
        <f t="shared" si="41"/>
        <v/>
      </c>
      <c r="E463" s="186"/>
      <c r="F463" s="146" t="str">
        <f t="shared" si="42"/>
        <v/>
      </c>
      <c r="G463" s="185"/>
      <c r="H463" s="185"/>
      <c r="I463" s="185"/>
      <c r="J463" s="201"/>
      <c r="K463" s="200"/>
      <c r="L463" s="200"/>
      <c r="M463" s="201"/>
      <c r="N463" s="201"/>
      <c r="P463" s="141" t="str">
        <f t="shared" si="43"/>
        <v/>
      </c>
      <c r="Q463" s="141" t="str">
        <f t="shared" si="44"/>
        <v/>
      </c>
      <c r="AA463" s="141" t="s">
        <v>1531</v>
      </c>
      <c r="AB463" s="141" t="s">
        <v>1532</v>
      </c>
    </row>
    <row r="464" spans="1:28">
      <c r="A464" s="151"/>
      <c r="B464" s="146" t="str">
        <f t="shared" si="40"/>
        <v/>
      </c>
      <c r="C464" s="151"/>
      <c r="D464" s="146" t="str">
        <f t="shared" si="41"/>
        <v/>
      </c>
      <c r="E464" s="186"/>
      <c r="F464" s="146" t="str">
        <f t="shared" si="42"/>
        <v/>
      </c>
      <c r="G464" s="185"/>
      <c r="H464" s="185"/>
      <c r="I464" s="185"/>
      <c r="J464" s="201"/>
      <c r="K464" s="200"/>
      <c r="L464" s="200"/>
      <c r="M464" s="201"/>
      <c r="N464" s="201"/>
      <c r="P464" s="141" t="str">
        <f t="shared" si="43"/>
        <v/>
      </c>
      <c r="Q464" s="141" t="str">
        <f t="shared" si="44"/>
        <v/>
      </c>
    </row>
    <row r="465" spans="1:17">
      <c r="A465" s="151"/>
      <c r="B465" s="146" t="str">
        <f t="shared" si="40"/>
        <v/>
      </c>
      <c r="C465" s="151"/>
      <c r="D465" s="146" t="str">
        <f t="shared" si="41"/>
        <v/>
      </c>
      <c r="E465" s="186"/>
      <c r="F465" s="146" t="str">
        <f t="shared" si="42"/>
        <v/>
      </c>
      <c r="G465" s="185"/>
      <c r="H465" s="185"/>
      <c r="I465" s="185"/>
      <c r="J465" s="201"/>
      <c r="K465" s="200"/>
      <c r="L465" s="200"/>
      <c r="M465" s="201"/>
      <c r="N465" s="201"/>
      <c r="P465" s="141" t="str">
        <f t="shared" si="43"/>
        <v/>
      </c>
      <c r="Q465" s="141" t="str">
        <f t="shared" si="44"/>
        <v/>
      </c>
    </row>
    <row r="466" spans="1:17">
      <c r="A466" s="151"/>
      <c r="B466" s="146" t="str">
        <f t="shared" si="40"/>
        <v/>
      </c>
      <c r="C466" s="151"/>
      <c r="D466" s="146" t="str">
        <f t="shared" si="41"/>
        <v/>
      </c>
      <c r="E466" s="186"/>
      <c r="F466" s="146" t="str">
        <f t="shared" si="42"/>
        <v/>
      </c>
      <c r="G466" s="185"/>
      <c r="H466" s="185"/>
      <c r="I466" s="185"/>
      <c r="J466" s="201"/>
      <c r="K466" s="200"/>
      <c r="L466" s="200"/>
      <c r="M466" s="201"/>
      <c r="N466" s="201"/>
      <c r="P466" s="141" t="str">
        <f t="shared" si="43"/>
        <v/>
      </c>
      <c r="Q466" s="141" t="str">
        <f t="shared" si="44"/>
        <v/>
      </c>
    </row>
    <row r="467" spans="1:17">
      <c r="A467" s="151"/>
      <c r="B467" s="146" t="str">
        <f t="shared" si="40"/>
        <v/>
      </c>
      <c r="C467" s="151"/>
      <c r="D467" s="146" t="str">
        <f t="shared" si="41"/>
        <v/>
      </c>
      <c r="E467" s="186"/>
      <c r="F467" s="146" t="str">
        <f t="shared" si="42"/>
        <v/>
      </c>
      <c r="G467" s="185"/>
      <c r="H467" s="185"/>
      <c r="I467" s="185"/>
      <c r="J467" s="201"/>
      <c r="K467" s="200"/>
      <c r="L467" s="200"/>
      <c r="M467" s="201"/>
      <c r="N467" s="201"/>
      <c r="P467" s="141" t="str">
        <f t="shared" si="43"/>
        <v/>
      </c>
      <c r="Q467" s="141" t="str">
        <f t="shared" si="44"/>
        <v/>
      </c>
    </row>
    <row r="468" spans="1:17">
      <c r="A468" s="151"/>
      <c r="B468" s="146" t="str">
        <f t="shared" si="40"/>
        <v/>
      </c>
      <c r="C468" s="151"/>
      <c r="D468" s="146" t="str">
        <f t="shared" si="41"/>
        <v/>
      </c>
      <c r="E468" s="186"/>
      <c r="F468" s="146" t="str">
        <f t="shared" si="42"/>
        <v/>
      </c>
      <c r="G468" s="185"/>
      <c r="H468" s="185"/>
      <c r="I468" s="185"/>
      <c r="J468" s="201"/>
      <c r="K468" s="200"/>
      <c r="L468" s="200"/>
      <c r="M468" s="201"/>
      <c r="N468" s="201"/>
      <c r="P468" s="141" t="str">
        <f t="shared" si="43"/>
        <v/>
      </c>
      <c r="Q468" s="141" t="str">
        <f t="shared" si="44"/>
        <v/>
      </c>
    </row>
    <row r="469" spans="1:17">
      <c r="A469" s="151"/>
      <c r="B469" s="146" t="str">
        <f t="shared" si="40"/>
        <v/>
      </c>
      <c r="C469" s="151"/>
      <c r="D469" s="146" t="str">
        <f t="shared" si="41"/>
        <v/>
      </c>
      <c r="E469" s="186"/>
      <c r="F469" s="146" t="str">
        <f t="shared" si="42"/>
        <v/>
      </c>
      <c r="G469" s="185"/>
      <c r="H469" s="185"/>
      <c r="I469" s="185"/>
      <c r="J469" s="201"/>
      <c r="K469" s="200"/>
      <c r="L469" s="200"/>
      <c r="M469" s="201"/>
      <c r="N469" s="201"/>
      <c r="P469" s="141" t="str">
        <f t="shared" si="43"/>
        <v/>
      </c>
      <c r="Q469" s="141" t="str">
        <f t="shared" si="44"/>
        <v/>
      </c>
    </row>
    <row r="470" spans="1:17">
      <c r="A470" s="151"/>
      <c r="B470" s="146" t="str">
        <f t="shared" si="40"/>
        <v/>
      </c>
      <c r="C470" s="151"/>
      <c r="D470" s="146" t="str">
        <f t="shared" si="41"/>
        <v/>
      </c>
      <c r="E470" s="186"/>
      <c r="F470" s="146" t="str">
        <f t="shared" si="42"/>
        <v/>
      </c>
      <c r="G470" s="185"/>
      <c r="H470" s="185"/>
      <c r="I470" s="185"/>
      <c r="J470" s="201"/>
      <c r="K470" s="200"/>
      <c r="L470" s="200"/>
      <c r="M470" s="201"/>
      <c r="N470" s="201"/>
      <c r="P470" s="141" t="str">
        <f t="shared" si="43"/>
        <v/>
      </c>
      <c r="Q470" s="141" t="str">
        <f t="shared" si="44"/>
        <v/>
      </c>
    </row>
    <row r="471" spans="1:17">
      <c r="A471" s="151"/>
      <c r="B471" s="146" t="str">
        <f t="shared" si="40"/>
        <v/>
      </c>
      <c r="C471" s="151"/>
      <c r="D471" s="146" t="str">
        <f t="shared" si="41"/>
        <v/>
      </c>
      <c r="E471" s="186"/>
      <c r="F471" s="146" t="str">
        <f t="shared" si="42"/>
        <v/>
      </c>
      <c r="G471" s="185"/>
      <c r="H471" s="185"/>
      <c r="I471" s="185"/>
      <c r="J471" s="201"/>
      <c r="K471" s="200"/>
      <c r="L471" s="200"/>
      <c r="M471" s="201"/>
      <c r="N471" s="201"/>
      <c r="P471" s="141" t="str">
        <f t="shared" si="43"/>
        <v/>
      </c>
      <c r="Q471" s="141" t="str">
        <f t="shared" si="44"/>
        <v/>
      </c>
    </row>
    <row r="472" spans="1:17">
      <c r="A472" s="151"/>
      <c r="B472" s="146" t="str">
        <f t="shared" si="40"/>
        <v/>
      </c>
      <c r="C472" s="151"/>
      <c r="D472" s="146" t="str">
        <f t="shared" si="41"/>
        <v/>
      </c>
      <c r="E472" s="186"/>
      <c r="F472" s="146" t="str">
        <f t="shared" si="42"/>
        <v/>
      </c>
      <c r="G472" s="185"/>
      <c r="H472" s="185"/>
      <c r="I472" s="185"/>
      <c r="J472" s="201"/>
      <c r="K472" s="200"/>
      <c r="L472" s="200"/>
      <c r="M472" s="201"/>
      <c r="N472" s="201"/>
      <c r="P472" s="141" t="str">
        <f t="shared" si="43"/>
        <v/>
      </c>
      <c r="Q472" s="141" t="str">
        <f t="shared" si="44"/>
        <v/>
      </c>
    </row>
    <row r="473" spans="1:17">
      <c r="A473" s="151"/>
      <c r="B473" s="146" t="str">
        <f t="shared" si="40"/>
        <v/>
      </c>
      <c r="C473" s="151"/>
      <c r="D473" s="146" t="str">
        <f t="shared" si="41"/>
        <v/>
      </c>
      <c r="E473" s="186"/>
      <c r="F473" s="146" t="str">
        <f t="shared" si="42"/>
        <v/>
      </c>
      <c r="G473" s="185"/>
      <c r="H473" s="185"/>
      <c r="I473" s="185"/>
      <c r="J473" s="201"/>
      <c r="K473" s="200"/>
      <c r="L473" s="200"/>
      <c r="M473" s="201"/>
      <c r="N473" s="201"/>
      <c r="P473" s="141" t="str">
        <f t="shared" si="43"/>
        <v/>
      </c>
      <c r="Q473" s="141" t="str">
        <f t="shared" si="44"/>
        <v/>
      </c>
    </row>
    <row r="474" spans="1:17">
      <c r="A474" s="151"/>
      <c r="B474" s="146" t="str">
        <f t="shared" si="40"/>
        <v/>
      </c>
      <c r="C474" s="151"/>
      <c r="D474" s="146" t="str">
        <f t="shared" si="41"/>
        <v/>
      </c>
      <c r="E474" s="186"/>
      <c r="F474" s="146" t="str">
        <f t="shared" si="42"/>
        <v/>
      </c>
      <c r="G474" s="185"/>
      <c r="H474" s="185"/>
      <c r="I474" s="185"/>
      <c r="J474" s="201"/>
      <c r="K474" s="200"/>
      <c r="L474" s="200"/>
      <c r="M474" s="201"/>
      <c r="N474" s="201"/>
      <c r="P474" s="141" t="str">
        <f t="shared" si="43"/>
        <v/>
      </c>
      <c r="Q474" s="141" t="str">
        <f t="shared" si="44"/>
        <v/>
      </c>
    </row>
    <row r="475" spans="1:17">
      <c r="A475" s="151"/>
      <c r="B475" s="146" t="str">
        <f t="shared" si="40"/>
        <v/>
      </c>
      <c r="C475" s="151"/>
      <c r="D475" s="146" t="str">
        <f t="shared" si="41"/>
        <v/>
      </c>
      <c r="E475" s="186"/>
      <c r="F475" s="146" t="str">
        <f t="shared" si="42"/>
        <v/>
      </c>
      <c r="G475" s="185"/>
      <c r="H475" s="185"/>
      <c r="I475" s="185"/>
      <c r="J475" s="201"/>
      <c r="K475" s="200"/>
      <c r="L475" s="200"/>
      <c r="M475" s="201"/>
      <c r="N475" s="201"/>
      <c r="P475" s="141" t="str">
        <f t="shared" si="43"/>
        <v/>
      </c>
      <c r="Q475" s="141" t="str">
        <f t="shared" si="44"/>
        <v/>
      </c>
    </row>
    <row r="476" spans="1:17">
      <c r="A476" s="151"/>
      <c r="B476" s="146" t="str">
        <f t="shared" si="40"/>
        <v/>
      </c>
      <c r="C476" s="151"/>
      <c r="D476" s="146" t="str">
        <f t="shared" si="41"/>
        <v/>
      </c>
      <c r="E476" s="186"/>
      <c r="F476" s="146" t="str">
        <f t="shared" si="42"/>
        <v/>
      </c>
      <c r="G476" s="185"/>
      <c r="H476" s="185"/>
      <c r="I476" s="185"/>
      <c r="J476" s="201"/>
      <c r="K476" s="200"/>
      <c r="L476" s="200"/>
      <c r="M476" s="201"/>
      <c r="N476" s="201"/>
      <c r="P476" s="141" t="str">
        <f t="shared" si="43"/>
        <v/>
      </c>
      <c r="Q476" s="141" t="str">
        <f t="shared" si="44"/>
        <v/>
      </c>
    </row>
    <row r="477" spans="1:17">
      <c r="A477" s="151"/>
      <c r="B477" s="146" t="str">
        <f t="shared" si="40"/>
        <v/>
      </c>
      <c r="C477" s="151"/>
      <c r="D477" s="146" t="str">
        <f t="shared" si="41"/>
        <v/>
      </c>
      <c r="E477" s="186"/>
      <c r="F477" s="146" t="str">
        <f t="shared" si="42"/>
        <v/>
      </c>
      <c r="G477" s="185"/>
      <c r="H477" s="185"/>
      <c r="I477" s="185"/>
      <c r="J477" s="201"/>
      <c r="K477" s="200"/>
      <c r="L477" s="200"/>
      <c r="M477" s="201"/>
      <c r="N477" s="201"/>
      <c r="P477" s="141" t="str">
        <f t="shared" si="43"/>
        <v/>
      </c>
      <c r="Q477" s="141" t="str">
        <f t="shared" si="44"/>
        <v/>
      </c>
    </row>
    <row r="478" spans="1:17">
      <c r="A478" s="151"/>
      <c r="B478" s="146" t="str">
        <f t="shared" si="40"/>
        <v/>
      </c>
      <c r="C478" s="151"/>
      <c r="D478" s="146" t="str">
        <f t="shared" si="41"/>
        <v/>
      </c>
      <c r="E478" s="186"/>
      <c r="F478" s="146" t="str">
        <f t="shared" si="42"/>
        <v/>
      </c>
      <c r="G478" s="185"/>
      <c r="H478" s="185"/>
      <c r="I478" s="185"/>
      <c r="J478" s="201"/>
      <c r="K478" s="200"/>
      <c r="L478" s="200"/>
      <c r="M478" s="201"/>
      <c r="N478" s="201"/>
      <c r="P478" s="141" t="str">
        <f t="shared" si="43"/>
        <v/>
      </c>
      <c r="Q478" s="141" t="str">
        <f t="shared" si="44"/>
        <v/>
      </c>
    </row>
    <row r="479" spans="1:17">
      <c r="A479" s="151"/>
      <c r="B479" s="146" t="str">
        <f t="shared" si="40"/>
        <v/>
      </c>
      <c r="C479" s="151"/>
      <c r="D479" s="146" t="str">
        <f t="shared" si="41"/>
        <v/>
      </c>
      <c r="E479" s="186"/>
      <c r="F479" s="146" t="str">
        <f t="shared" si="42"/>
        <v/>
      </c>
      <c r="G479" s="185"/>
      <c r="H479" s="185"/>
      <c r="I479" s="185"/>
      <c r="J479" s="201"/>
      <c r="K479" s="200"/>
      <c r="L479" s="200"/>
      <c r="M479" s="201"/>
      <c r="N479" s="201"/>
      <c r="P479" s="141" t="str">
        <f t="shared" si="43"/>
        <v/>
      </c>
      <c r="Q479" s="141" t="str">
        <f t="shared" si="44"/>
        <v/>
      </c>
    </row>
    <row r="480" spans="1:17">
      <c r="A480" s="151"/>
      <c r="B480" s="146" t="str">
        <f t="shared" si="40"/>
        <v/>
      </c>
      <c r="C480" s="151"/>
      <c r="D480" s="146" t="str">
        <f t="shared" si="41"/>
        <v/>
      </c>
      <c r="E480" s="186"/>
      <c r="F480" s="146" t="str">
        <f t="shared" si="42"/>
        <v/>
      </c>
      <c r="G480" s="185"/>
      <c r="H480" s="185"/>
      <c r="I480" s="185"/>
      <c r="J480" s="201"/>
      <c r="K480" s="200"/>
      <c r="L480" s="200"/>
      <c r="M480" s="201"/>
      <c r="N480" s="201"/>
      <c r="P480" s="141" t="str">
        <f t="shared" si="43"/>
        <v/>
      </c>
      <c r="Q480" s="141" t="str">
        <f t="shared" si="44"/>
        <v/>
      </c>
    </row>
    <row r="481" spans="1:17">
      <c r="A481" s="151"/>
      <c r="B481" s="146" t="str">
        <f t="shared" si="40"/>
        <v/>
      </c>
      <c r="C481" s="151"/>
      <c r="D481" s="146" t="str">
        <f t="shared" si="41"/>
        <v/>
      </c>
      <c r="E481" s="186"/>
      <c r="F481" s="146" t="str">
        <f t="shared" si="42"/>
        <v/>
      </c>
      <c r="G481" s="185"/>
      <c r="H481" s="185"/>
      <c r="I481" s="185"/>
      <c r="J481" s="201"/>
      <c r="K481" s="200"/>
      <c r="L481" s="200"/>
      <c r="M481" s="201"/>
      <c r="N481" s="201"/>
      <c r="P481" s="141" t="str">
        <f t="shared" si="43"/>
        <v/>
      </c>
      <c r="Q481" s="141" t="str">
        <f t="shared" si="44"/>
        <v/>
      </c>
    </row>
    <row r="482" spans="1:17">
      <c r="A482" s="151"/>
      <c r="B482" s="146" t="str">
        <f t="shared" si="40"/>
        <v/>
      </c>
      <c r="C482" s="151"/>
      <c r="D482" s="146" t="str">
        <f t="shared" si="41"/>
        <v/>
      </c>
      <c r="E482" s="186"/>
      <c r="F482" s="146" t="str">
        <f t="shared" si="42"/>
        <v/>
      </c>
      <c r="G482" s="185"/>
      <c r="H482" s="185"/>
      <c r="I482" s="185"/>
      <c r="J482" s="201"/>
      <c r="K482" s="200"/>
      <c r="L482" s="200"/>
      <c r="M482" s="201"/>
      <c r="N482" s="201"/>
      <c r="P482" s="141" t="str">
        <f t="shared" si="43"/>
        <v/>
      </c>
      <c r="Q482" s="141" t="str">
        <f t="shared" si="44"/>
        <v/>
      </c>
    </row>
    <row r="483" spans="1:17">
      <c r="A483" s="151"/>
      <c r="B483" s="146" t="str">
        <f t="shared" si="40"/>
        <v/>
      </c>
      <c r="C483" s="151"/>
      <c r="D483" s="146" t="str">
        <f t="shared" si="41"/>
        <v/>
      </c>
      <c r="E483" s="186"/>
      <c r="F483" s="146" t="str">
        <f t="shared" si="42"/>
        <v/>
      </c>
      <c r="G483" s="185"/>
      <c r="H483" s="185"/>
      <c r="I483" s="185"/>
      <c r="J483" s="201"/>
      <c r="K483" s="200"/>
      <c r="L483" s="200"/>
      <c r="M483" s="201"/>
      <c r="N483" s="201"/>
      <c r="P483" s="141" t="str">
        <f t="shared" si="43"/>
        <v/>
      </c>
      <c r="Q483" s="141" t="str">
        <f t="shared" si="44"/>
        <v/>
      </c>
    </row>
    <row r="484" spans="1:17">
      <c r="A484" s="151"/>
      <c r="B484" s="146" t="str">
        <f t="shared" si="40"/>
        <v/>
      </c>
      <c r="C484" s="151"/>
      <c r="D484" s="146" t="str">
        <f t="shared" si="41"/>
        <v/>
      </c>
      <c r="E484" s="186"/>
      <c r="F484" s="146" t="str">
        <f t="shared" si="42"/>
        <v/>
      </c>
      <c r="G484" s="185"/>
      <c r="H484" s="185"/>
      <c r="I484" s="185"/>
      <c r="J484" s="201"/>
      <c r="K484" s="200"/>
      <c r="L484" s="200"/>
      <c r="M484" s="201"/>
      <c r="N484" s="201"/>
      <c r="P484" s="141" t="str">
        <f t="shared" si="43"/>
        <v/>
      </c>
      <c r="Q484" s="141" t="str">
        <f t="shared" si="44"/>
        <v/>
      </c>
    </row>
    <row r="485" spans="1:17">
      <c r="A485" s="151"/>
      <c r="B485" s="146" t="str">
        <f t="shared" si="40"/>
        <v/>
      </c>
      <c r="C485" s="151"/>
      <c r="D485" s="146" t="str">
        <f t="shared" si="41"/>
        <v/>
      </c>
      <c r="E485" s="186"/>
      <c r="F485" s="146" t="str">
        <f t="shared" si="42"/>
        <v/>
      </c>
      <c r="G485" s="185"/>
      <c r="H485" s="185"/>
      <c r="I485" s="185"/>
      <c r="J485" s="201"/>
      <c r="K485" s="200"/>
      <c r="L485" s="200"/>
      <c r="M485" s="201"/>
      <c r="N485" s="201"/>
      <c r="P485" s="141" t="str">
        <f t="shared" si="43"/>
        <v/>
      </c>
      <c r="Q485" s="141" t="str">
        <f t="shared" si="44"/>
        <v/>
      </c>
    </row>
    <row r="486" spans="1:17">
      <c r="A486" s="151"/>
      <c r="B486" s="146" t="str">
        <f t="shared" si="40"/>
        <v/>
      </c>
      <c r="C486" s="151"/>
      <c r="D486" s="146" t="str">
        <f t="shared" si="41"/>
        <v/>
      </c>
      <c r="E486" s="186"/>
      <c r="F486" s="146" t="str">
        <f t="shared" si="42"/>
        <v/>
      </c>
      <c r="G486" s="185"/>
      <c r="H486" s="185"/>
      <c r="I486" s="185"/>
      <c r="J486" s="201"/>
      <c r="K486" s="200"/>
      <c r="L486" s="200"/>
      <c r="M486" s="201"/>
      <c r="N486" s="201"/>
      <c r="P486" s="141" t="str">
        <f t="shared" si="43"/>
        <v/>
      </c>
      <c r="Q486" s="141" t="str">
        <f t="shared" si="44"/>
        <v/>
      </c>
    </row>
    <row r="487" spans="1:17">
      <c r="A487" s="151"/>
      <c r="B487" s="146" t="str">
        <f t="shared" si="40"/>
        <v/>
      </c>
      <c r="C487" s="151"/>
      <c r="D487" s="146" t="str">
        <f t="shared" si="41"/>
        <v/>
      </c>
      <c r="E487" s="186"/>
      <c r="F487" s="146" t="str">
        <f t="shared" si="42"/>
        <v/>
      </c>
      <c r="G487" s="185"/>
      <c r="H487" s="185"/>
      <c r="I487" s="185"/>
      <c r="J487" s="201"/>
      <c r="K487" s="200"/>
      <c r="L487" s="200"/>
      <c r="M487" s="201"/>
      <c r="N487" s="201"/>
      <c r="P487" s="141" t="str">
        <f t="shared" si="43"/>
        <v/>
      </c>
      <c r="Q487" s="141" t="str">
        <f t="shared" si="44"/>
        <v/>
      </c>
    </row>
    <row r="488" spans="1:17">
      <c r="A488" s="151"/>
      <c r="B488" s="146" t="str">
        <f t="shared" si="40"/>
        <v/>
      </c>
      <c r="C488" s="151"/>
      <c r="D488" s="146" t="str">
        <f t="shared" si="41"/>
        <v/>
      </c>
      <c r="E488" s="186"/>
      <c r="F488" s="146" t="str">
        <f t="shared" si="42"/>
        <v/>
      </c>
      <c r="G488" s="185"/>
      <c r="H488" s="185"/>
      <c r="I488" s="185"/>
      <c r="J488" s="201"/>
      <c r="K488" s="200"/>
      <c r="L488" s="200"/>
      <c r="M488" s="201"/>
      <c r="N488" s="201"/>
      <c r="P488" s="141" t="str">
        <f t="shared" si="43"/>
        <v/>
      </c>
      <c r="Q488" s="141" t="str">
        <f t="shared" si="44"/>
        <v/>
      </c>
    </row>
    <row r="489" spans="1:17">
      <c r="A489" s="151"/>
      <c r="B489" s="146" t="str">
        <f t="shared" si="40"/>
        <v/>
      </c>
      <c r="C489" s="151"/>
      <c r="D489" s="146" t="str">
        <f t="shared" si="41"/>
        <v/>
      </c>
      <c r="E489" s="186"/>
      <c r="F489" s="146" t="str">
        <f t="shared" si="42"/>
        <v/>
      </c>
      <c r="G489" s="185"/>
      <c r="H489" s="185"/>
      <c r="I489" s="185"/>
      <c r="J489" s="201"/>
      <c r="K489" s="200"/>
      <c r="L489" s="200"/>
      <c r="M489" s="201"/>
      <c r="N489" s="201"/>
      <c r="P489" s="141" t="str">
        <f t="shared" si="43"/>
        <v/>
      </c>
      <c r="Q489" s="141" t="str">
        <f t="shared" si="44"/>
        <v/>
      </c>
    </row>
    <row r="490" spans="1:17">
      <c r="A490" s="151"/>
      <c r="B490" s="146" t="str">
        <f t="shared" si="40"/>
        <v/>
      </c>
      <c r="C490" s="151"/>
      <c r="D490" s="146" t="str">
        <f t="shared" si="41"/>
        <v/>
      </c>
      <c r="E490" s="186"/>
      <c r="F490" s="146" t="str">
        <f t="shared" si="42"/>
        <v/>
      </c>
      <c r="G490" s="185"/>
      <c r="H490" s="185"/>
      <c r="I490" s="185"/>
      <c r="J490" s="201"/>
      <c r="K490" s="200"/>
      <c r="L490" s="200"/>
      <c r="M490" s="201"/>
      <c r="N490" s="201"/>
      <c r="P490" s="141" t="str">
        <f t="shared" si="43"/>
        <v/>
      </c>
      <c r="Q490" s="141" t="str">
        <f t="shared" si="44"/>
        <v/>
      </c>
    </row>
    <row r="491" spans="1:17">
      <c r="A491" s="151"/>
      <c r="B491" s="146" t="str">
        <f t="shared" si="40"/>
        <v/>
      </c>
      <c r="C491" s="151"/>
      <c r="D491" s="146" t="str">
        <f t="shared" si="41"/>
        <v/>
      </c>
      <c r="E491" s="186"/>
      <c r="F491" s="146" t="str">
        <f t="shared" si="42"/>
        <v/>
      </c>
      <c r="G491" s="185"/>
      <c r="H491" s="185"/>
      <c r="I491" s="185"/>
      <c r="J491" s="201"/>
      <c r="K491" s="200"/>
      <c r="L491" s="200"/>
      <c r="M491" s="201"/>
      <c r="N491" s="201"/>
      <c r="P491" s="141" t="str">
        <f t="shared" si="43"/>
        <v/>
      </c>
      <c r="Q491" s="141" t="str">
        <f t="shared" si="44"/>
        <v/>
      </c>
    </row>
    <row r="492" spans="1:17">
      <c r="A492" s="151"/>
      <c r="B492" s="146" t="str">
        <f t="shared" si="40"/>
        <v/>
      </c>
      <c r="C492" s="151"/>
      <c r="D492" s="146" t="str">
        <f t="shared" si="41"/>
        <v/>
      </c>
      <c r="E492" s="186"/>
      <c r="F492" s="146" t="str">
        <f t="shared" si="42"/>
        <v/>
      </c>
      <c r="G492" s="185"/>
      <c r="H492" s="185"/>
      <c r="I492" s="185"/>
      <c r="J492" s="201"/>
      <c r="K492" s="200"/>
      <c r="L492" s="200"/>
      <c r="M492" s="201"/>
      <c r="N492" s="201"/>
      <c r="P492" s="141" t="str">
        <f t="shared" si="43"/>
        <v/>
      </c>
      <c r="Q492" s="141" t="str">
        <f t="shared" si="44"/>
        <v/>
      </c>
    </row>
    <row r="493" spans="1:17">
      <c r="A493" s="151"/>
      <c r="B493" s="146" t="str">
        <f t="shared" si="40"/>
        <v/>
      </c>
      <c r="C493" s="151"/>
      <c r="D493" s="146" t="str">
        <f t="shared" si="41"/>
        <v/>
      </c>
      <c r="E493" s="186"/>
      <c r="F493" s="146" t="str">
        <f t="shared" si="42"/>
        <v/>
      </c>
      <c r="G493" s="185"/>
      <c r="H493" s="185"/>
      <c r="I493" s="185"/>
      <c r="J493" s="201"/>
      <c r="K493" s="200"/>
      <c r="L493" s="200"/>
      <c r="M493" s="201"/>
      <c r="N493" s="201"/>
      <c r="P493" s="141" t="str">
        <f t="shared" si="43"/>
        <v/>
      </c>
      <c r="Q493" s="141" t="str">
        <f t="shared" si="44"/>
        <v/>
      </c>
    </row>
    <row r="494" spans="1:17">
      <c r="A494" s="151"/>
      <c r="B494" s="146" t="str">
        <f t="shared" si="40"/>
        <v/>
      </c>
      <c r="C494" s="151"/>
      <c r="D494" s="146" t="str">
        <f t="shared" si="41"/>
        <v/>
      </c>
      <c r="E494" s="186"/>
      <c r="F494" s="146" t="str">
        <f t="shared" si="42"/>
        <v/>
      </c>
      <c r="G494" s="185"/>
      <c r="H494" s="185"/>
      <c r="I494" s="185"/>
      <c r="J494" s="201"/>
      <c r="K494" s="200"/>
      <c r="L494" s="200"/>
      <c r="M494" s="201"/>
      <c r="N494" s="201"/>
      <c r="P494" s="141" t="str">
        <f t="shared" si="43"/>
        <v/>
      </c>
      <c r="Q494" s="141" t="str">
        <f t="shared" si="44"/>
        <v/>
      </c>
    </row>
    <row r="495" spans="1:17">
      <c r="A495" s="151"/>
      <c r="B495" s="146" t="str">
        <f t="shared" si="40"/>
        <v/>
      </c>
      <c r="C495" s="151"/>
      <c r="D495" s="146" t="str">
        <f t="shared" si="41"/>
        <v/>
      </c>
      <c r="E495" s="186"/>
      <c r="F495" s="146" t="str">
        <f t="shared" si="42"/>
        <v/>
      </c>
      <c r="G495" s="185"/>
      <c r="H495" s="185"/>
      <c r="I495" s="185"/>
      <c r="J495" s="201"/>
      <c r="K495" s="200"/>
      <c r="L495" s="200"/>
      <c r="M495" s="201"/>
      <c r="N495" s="201"/>
      <c r="P495" s="141" t="str">
        <f t="shared" si="43"/>
        <v/>
      </c>
      <c r="Q495" s="141" t="str">
        <f t="shared" si="44"/>
        <v/>
      </c>
    </row>
    <row r="496" spans="1:17">
      <c r="A496" s="151"/>
      <c r="B496" s="146" t="str">
        <f t="shared" si="40"/>
        <v/>
      </c>
      <c r="C496" s="151"/>
      <c r="D496" s="146" t="str">
        <f t="shared" si="41"/>
        <v/>
      </c>
      <c r="E496" s="186"/>
      <c r="F496" s="146" t="str">
        <f t="shared" si="42"/>
        <v/>
      </c>
      <c r="G496" s="185"/>
      <c r="H496" s="185"/>
      <c r="I496" s="185"/>
      <c r="J496" s="201"/>
      <c r="K496" s="200"/>
      <c r="L496" s="200"/>
      <c r="M496" s="201"/>
      <c r="N496" s="201"/>
      <c r="P496" s="141" t="str">
        <f t="shared" si="43"/>
        <v/>
      </c>
      <c r="Q496" s="141" t="str">
        <f t="shared" si="44"/>
        <v/>
      </c>
    </row>
    <row r="497" spans="1:17">
      <c r="A497" s="151"/>
      <c r="B497" s="146" t="str">
        <f t="shared" si="40"/>
        <v/>
      </c>
      <c r="C497" s="151"/>
      <c r="D497" s="146" t="str">
        <f t="shared" si="41"/>
        <v/>
      </c>
      <c r="E497" s="186"/>
      <c r="F497" s="146" t="str">
        <f t="shared" si="42"/>
        <v/>
      </c>
      <c r="G497" s="185"/>
      <c r="H497" s="185"/>
      <c r="I497" s="185"/>
      <c r="J497" s="201"/>
      <c r="K497" s="200"/>
      <c r="L497" s="200"/>
      <c r="M497" s="201"/>
      <c r="N497" s="201"/>
      <c r="P497" s="141" t="str">
        <f t="shared" si="43"/>
        <v/>
      </c>
      <c r="Q497" s="141" t="str">
        <f t="shared" si="44"/>
        <v/>
      </c>
    </row>
    <row r="498" spans="1:17">
      <c r="A498" s="151"/>
      <c r="B498" s="146" t="str">
        <f t="shared" si="40"/>
        <v/>
      </c>
      <c r="C498" s="151"/>
      <c r="D498" s="146" t="str">
        <f t="shared" si="41"/>
        <v/>
      </c>
      <c r="E498" s="186"/>
      <c r="F498" s="146" t="str">
        <f t="shared" si="42"/>
        <v/>
      </c>
      <c r="G498" s="185"/>
      <c r="H498" s="185"/>
      <c r="I498" s="185"/>
      <c r="J498" s="201"/>
      <c r="K498" s="200"/>
      <c r="L498" s="200"/>
      <c r="M498" s="201"/>
      <c r="N498" s="201"/>
      <c r="P498" s="141" t="str">
        <f t="shared" si="43"/>
        <v/>
      </c>
      <c r="Q498" s="141" t="str">
        <f t="shared" si="44"/>
        <v/>
      </c>
    </row>
    <row r="499" spans="1:17">
      <c r="A499" s="151"/>
      <c r="B499" s="146" t="str">
        <f t="shared" si="40"/>
        <v/>
      </c>
      <c r="C499" s="151"/>
      <c r="D499" s="146" t="str">
        <f t="shared" si="41"/>
        <v/>
      </c>
      <c r="E499" s="186"/>
      <c r="F499" s="146" t="str">
        <f t="shared" si="42"/>
        <v/>
      </c>
      <c r="G499" s="185"/>
      <c r="H499" s="185"/>
      <c r="I499" s="185"/>
      <c r="J499" s="201"/>
      <c r="K499" s="200"/>
      <c r="L499" s="200"/>
      <c r="M499" s="201"/>
      <c r="N499" s="201"/>
      <c r="P499" s="141" t="str">
        <f t="shared" si="43"/>
        <v/>
      </c>
      <c r="Q499" s="141" t="str">
        <f t="shared" si="44"/>
        <v/>
      </c>
    </row>
    <row r="500" spans="1:17">
      <c r="A500" s="151"/>
      <c r="B500" s="146" t="str">
        <f t="shared" si="40"/>
        <v/>
      </c>
      <c r="C500" s="151"/>
      <c r="D500" s="146" t="str">
        <f t="shared" si="41"/>
        <v/>
      </c>
      <c r="E500" s="186"/>
      <c r="F500" s="146" t="str">
        <f t="shared" si="42"/>
        <v/>
      </c>
      <c r="G500" s="185"/>
      <c r="H500" s="185"/>
      <c r="I500" s="185"/>
      <c r="J500" s="201"/>
      <c r="K500" s="200"/>
      <c r="L500" s="200"/>
      <c r="M500" s="201"/>
      <c r="N500" s="201"/>
      <c r="P500" s="141" t="str">
        <f t="shared" si="43"/>
        <v/>
      </c>
      <c r="Q500" s="141" t="str">
        <f t="shared" si="44"/>
        <v/>
      </c>
    </row>
    <row r="501" spans="1:17">
      <c r="A501" s="151"/>
      <c r="B501" s="146" t="str">
        <f t="shared" si="40"/>
        <v/>
      </c>
      <c r="C501" s="151"/>
      <c r="D501" s="146" t="str">
        <f t="shared" si="41"/>
        <v/>
      </c>
      <c r="E501" s="186"/>
      <c r="F501" s="146" t="str">
        <f t="shared" si="42"/>
        <v/>
      </c>
      <c r="G501" s="185"/>
      <c r="H501" s="185"/>
      <c r="I501" s="185"/>
      <c r="J501" s="201"/>
      <c r="K501" s="200"/>
      <c r="L501" s="200"/>
      <c r="M501" s="201"/>
      <c r="N501" s="201"/>
      <c r="P501" s="141" t="str">
        <f t="shared" si="43"/>
        <v/>
      </c>
      <c r="Q501" s="141" t="str">
        <f t="shared" si="44"/>
        <v/>
      </c>
    </row>
    <row r="502" spans="1:17" ht="15.75" customHeight="1"/>
  </sheetData>
  <sheetProtection password="DE31" sheet="1" objects="1" scenarios="1" selectLockedCells="1"/>
  <sortState ref="AA7:AB239">
    <sortCondition ref="AA7"/>
  </sortState>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C3:C501">
      <formula1>$U$5:$U$129</formula1>
    </dataValidation>
    <dataValidation type="whole" allowBlank="1" showInputMessage="1" showErrorMessage="1" errorTitle="GREŠKA" error="U ovo polje je dozvoljen unos samo brojčanih vrijednosti (bez decimala!)" sqref="G3:I501">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E3:E501">
      <formula1>$AA$6:$AA$463</formula1>
    </dataValidation>
    <dataValidation type="list" allowBlank="1" showInputMessage="1" showErrorMessage="1" errorTitle="GREŠKA" error="Za unos odaberite vrijednost iz padajućeg izbornika!" prompt="Molimo odaberite vrijednost iz padajućeg izbornika!" sqref="A3:A501">
      <formula1>$R$6:$R$23</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6"/>
  <sheetViews>
    <sheetView showGridLines="0" tabSelected="1" topLeftCell="B1" zoomScale="80" zoomScaleNormal="80" workbookViewId="0">
      <pane ySplit="2" topLeftCell="A3" activePane="bottomLeft" state="frozen"/>
      <selection pane="bottomLeft" activeCell="I89" sqref="I89"/>
    </sheetView>
  </sheetViews>
  <sheetFormatPr defaultColWidth="11.42578125" defaultRowHeight="12.75"/>
  <cols>
    <col min="1" max="1" width="0" style="1" hidden="1" customWidth="1"/>
    <col min="2" max="2" width="4.85546875" style="1" customWidth="1"/>
    <col min="3" max="3" width="59" style="1" customWidth="1"/>
    <col min="4" max="4" width="14.85546875" style="1" customWidth="1"/>
    <col min="5" max="8" width="13.85546875" style="1" customWidth="1"/>
    <col min="9" max="9" width="13.85546875" style="65" customWidth="1"/>
    <col min="10" max="23" width="13.85546875" style="1" customWidth="1"/>
    <col min="24" max="24" width="7.85546875" style="1" customWidth="1"/>
    <col min="25" max="16384" width="11.42578125" style="1"/>
  </cols>
  <sheetData>
    <row r="1" spans="1:29" ht="15.6" customHeight="1">
      <c r="B1" s="327" t="s">
        <v>267</v>
      </c>
      <c r="C1" s="327"/>
      <c r="D1" s="327"/>
      <c r="E1" s="327"/>
      <c r="F1" s="327"/>
      <c r="G1" s="327"/>
      <c r="H1" s="327"/>
      <c r="I1" s="327"/>
      <c r="J1" s="327"/>
      <c r="K1" s="327"/>
      <c r="L1" s="327"/>
      <c r="M1" s="327"/>
      <c r="N1" s="327"/>
      <c r="O1" s="327"/>
      <c r="P1" s="327"/>
      <c r="Q1" s="327"/>
      <c r="R1" s="327"/>
      <c r="S1" s="327"/>
      <c r="T1" s="327"/>
      <c r="U1" s="327"/>
      <c r="V1" s="327"/>
      <c r="W1" s="216"/>
    </row>
    <row r="2" spans="1:29" s="90" customFormat="1">
      <c r="B2" s="89"/>
      <c r="C2" s="89"/>
      <c r="D2" s="89"/>
      <c r="V2" s="91" t="s">
        <v>268</v>
      </c>
      <c r="W2" s="91"/>
    </row>
    <row r="3" spans="1:29" s="90" customFormat="1" ht="15.6" customHeight="1">
      <c r="B3" s="321" t="s">
        <v>269</v>
      </c>
      <c r="C3" s="322"/>
      <c r="D3" s="323" t="s">
        <v>42</v>
      </c>
      <c r="E3" s="324"/>
      <c r="F3" s="324"/>
      <c r="G3" s="324"/>
      <c r="H3" s="324"/>
      <c r="I3" s="324"/>
      <c r="J3" s="324"/>
      <c r="K3" s="324"/>
      <c r="L3" s="324"/>
      <c r="M3" s="324"/>
      <c r="N3" s="324"/>
      <c r="O3" s="324"/>
      <c r="P3" s="324"/>
      <c r="Q3" s="324"/>
      <c r="R3" s="324"/>
      <c r="S3" s="324"/>
      <c r="T3" s="324"/>
      <c r="U3" s="324"/>
      <c r="V3" s="325"/>
      <c r="W3" s="218"/>
    </row>
    <row r="4" spans="1:29" s="90" customFormat="1" ht="89.25">
      <c r="A4" s="92" t="s">
        <v>2139</v>
      </c>
      <c r="B4" s="92" t="s">
        <v>270</v>
      </c>
      <c r="C4" s="92" t="s">
        <v>271</v>
      </c>
      <c r="D4" s="184" t="s">
        <v>272</v>
      </c>
      <c r="E4" s="219" t="s">
        <v>353</v>
      </c>
      <c r="F4" s="219" t="s">
        <v>325</v>
      </c>
      <c r="G4" s="220" t="s">
        <v>19</v>
      </c>
      <c r="H4" s="220" t="s">
        <v>1560</v>
      </c>
      <c r="I4" s="220" t="s">
        <v>20</v>
      </c>
      <c r="J4" s="220" t="s">
        <v>273</v>
      </c>
      <c r="K4" s="220" t="s">
        <v>274</v>
      </c>
      <c r="L4" s="220" t="s">
        <v>1561</v>
      </c>
      <c r="M4" s="220" t="s">
        <v>275</v>
      </c>
      <c r="N4" s="220" t="s">
        <v>276</v>
      </c>
      <c r="O4" s="220" t="s">
        <v>277</v>
      </c>
      <c r="P4" s="220" t="s">
        <v>1562</v>
      </c>
      <c r="Q4" s="220" t="s">
        <v>1563</v>
      </c>
      <c r="R4" s="220" t="s">
        <v>2133</v>
      </c>
      <c r="S4" s="220" t="s">
        <v>278</v>
      </c>
      <c r="T4" s="93" t="s">
        <v>279</v>
      </c>
      <c r="U4" s="93" t="s">
        <v>317</v>
      </c>
      <c r="V4" s="93" t="s">
        <v>1533</v>
      </c>
      <c r="W4" s="93" t="s">
        <v>1535</v>
      </c>
    </row>
    <row r="5" spans="1:29" s="90" customFormat="1" ht="19.5" customHeight="1">
      <c r="A5" s="90">
        <v>2021</v>
      </c>
      <c r="B5" s="95"/>
      <c r="C5" s="96" t="s">
        <v>11</v>
      </c>
      <c r="D5" s="70">
        <f>SUM(E5:W5)</f>
        <v>3056990</v>
      </c>
      <c r="E5" s="3"/>
      <c r="F5" s="3"/>
      <c r="G5" s="3"/>
      <c r="H5" s="3"/>
      <c r="I5" s="3">
        <v>3056990</v>
      </c>
      <c r="J5" s="3"/>
      <c r="K5" s="3"/>
      <c r="L5" s="3"/>
      <c r="M5" s="3"/>
      <c r="N5" s="3"/>
      <c r="O5" s="3"/>
      <c r="P5" s="3"/>
      <c r="Q5" s="3"/>
      <c r="R5" s="3"/>
      <c r="S5" s="3"/>
      <c r="T5" s="3"/>
      <c r="U5" s="3"/>
      <c r="V5" s="3"/>
      <c r="W5" s="3"/>
      <c r="X5" s="94"/>
      <c r="Y5" s="94"/>
      <c r="Z5" s="94"/>
      <c r="AA5" s="94"/>
      <c r="AB5" s="94"/>
      <c r="AC5" s="94"/>
    </row>
    <row r="6" spans="1:29" s="90" customFormat="1">
      <c r="A6" s="90">
        <v>2021</v>
      </c>
      <c r="B6" s="114"/>
      <c r="C6" s="115" t="s">
        <v>349</v>
      </c>
      <c r="D6" s="70">
        <f>SUM(E6:W6)</f>
        <v>170730836</v>
      </c>
      <c r="E6" s="14">
        <f>+E27+E34</f>
        <v>153483452</v>
      </c>
      <c r="F6" s="14">
        <f t="shared" ref="F6:V6" si="0">+F27+F34</f>
        <v>0</v>
      </c>
      <c r="G6" s="14">
        <f t="shared" si="0"/>
        <v>9315000</v>
      </c>
      <c r="H6" s="14">
        <f>+H27+H34</f>
        <v>0</v>
      </c>
      <c r="I6" s="14">
        <f t="shared" si="0"/>
        <v>3943010</v>
      </c>
      <c r="J6" s="14">
        <f t="shared" si="0"/>
        <v>3659374</v>
      </c>
      <c r="K6" s="14">
        <f t="shared" si="0"/>
        <v>100000</v>
      </c>
      <c r="L6" s="14">
        <f>+L27+L34</f>
        <v>0</v>
      </c>
      <c r="M6" s="14">
        <f t="shared" si="0"/>
        <v>0</v>
      </c>
      <c r="N6" s="14">
        <f t="shared" si="0"/>
        <v>0</v>
      </c>
      <c r="O6" s="14">
        <f t="shared" si="0"/>
        <v>0</v>
      </c>
      <c r="P6" s="14">
        <f>+P27+P34</f>
        <v>0</v>
      </c>
      <c r="Q6" s="14">
        <f>+Q27+Q34</f>
        <v>0</v>
      </c>
      <c r="R6" s="14">
        <f>+R27+R34</f>
        <v>0</v>
      </c>
      <c r="S6" s="14">
        <f t="shared" si="0"/>
        <v>230000</v>
      </c>
      <c r="T6" s="14">
        <f t="shared" si="0"/>
        <v>0</v>
      </c>
      <c r="U6" s="14">
        <f t="shared" si="0"/>
        <v>0</v>
      </c>
      <c r="V6" s="14">
        <f t="shared" si="0"/>
        <v>0</v>
      </c>
      <c r="W6" s="14">
        <f>+W27+W34</f>
        <v>0</v>
      </c>
    </row>
    <row r="7" spans="1:29" s="90" customFormat="1" ht="21.75" customHeight="1">
      <c r="A7" s="90">
        <v>2021</v>
      </c>
      <c r="B7" s="95"/>
      <c r="C7" s="96" t="s">
        <v>352</v>
      </c>
      <c r="D7" s="70">
        <f t="shared" ref="D7:D41" si="1">SUM(E7:W7)</f>
        <v>0</v>
      </c>
      <c r="E7" s="113">
        <v>0</v>
      </c>
      <c r="F7" s="113"/>
      <c r="G7" s="113"/>
      <c r="H7" s="113"/>
      <c r="I7" s="113"/>
      <c r="J7" s="113"/>
      <c r="K7" s="113"/>
      <c r="L7" s="113"/>
      <c r="M7" s="3"/>
      <c r="N7" s="113"/>
      <c r="O7" s="113"/>
      <c r="P7" s="113"/>
      <c r="Q7" s="113"/>
      <c r="R7" s="113"/>
      <c r="S7" s="113"/>
      <c r="T7" s="113"/>
      <c r="U7" s="113"/>
      <c r="V7" s="113"/>
      <c r="W7" s="113"/>
      <c r="X7" s="94"/>
      <c r="Y7" s="94"/>
      <c r="Z7" s="94"/>
      <c r="AA7" s="94"/>
      <c r="AB7" s="94"/>
      <c r="AC7" s="94"/>
    </row>
    <row r="8" spans="1:29" s="90" customFormat="1">
      <c r="A8" s="90">
        <v>2021</v>
      </c>
      <c r="B8" s="114"/>
      <c r="C8" s="115" t="s">
        <v>280</v>
      </c>
      <c r="D8" s="70">
        <f t="shared" si="1"/>
        <v>173787826</v>
      </c>
      <c r="E8" s="14">
        <f>+E5+E6+E7</f>
        <v>153483452</v>
      </c>
      <c r="F8" s="14">
        <f t="shared" ref="F8:V8" si="2">+F5+F6+F7</f>
        <v>0</v>
      </c>
      <c r="G8" s="14">
        <f t="shared" si="2"/>
        <v>9315000</v>
      </c>
      <c r="H8" s="14">
        <f>+H5+H6+H7</f>
        <v>0</v>
      </c>
      <c r="I8" s="14">
        <f t="shared" si="2"/>
        <v>7000000</v>
      </c>
      <c r="J8" s="14">
        <f t="shared" si="2"/>
        <v>3659374</v>
      </c>
      <c r="K8" s="14">
        <f t="shared" si="2"/>
        <v>100000</v>
      </c>
      <c r="L8" s="14">
        <f>+L5+L6+L7</f>
        <v>0</v>
      </c>
      <c r="M8" s="14">
        <f t="shared" si="2"/>
        <v>0</v>
      </c>
      <c r="N8" s="14">
        <f t="shared" si="2"/>
        <v>0</v>
      </c>
      <c r="O8" s="14">
        <f t="shared" si="2"/>
        <v>0</v>
      </c>
      <c r="P8" s="14">
        <f>+P5+P6+P7</f>
        <v>0</v>
      </c>
      <c r="Q8" s="14">
        <f>+Q5+Q6+Q7</f>
        <v>0</v>
      </c>
      <c r="R8" s="14">
        <f>+R5+R6+R7</f>
        <v>0</v>
      </c>
      <c r="S8" s="14">
        <f t="shared" si="2"/>
        <v>230000</v>
      </c>
      <c r="T8" s="14">
        <f t="shared" si="2"/>
        <v>0</v>
      </c>
      <c r="U8" s="14">
        <f t="shared" si="2"/>
        <v>0</v>
      </c>
      <c r="V8" s="14">
        <f t="shared" si="2"/>
        <v>0</v>
      </c>
      <c r="W8" s="14">
        <f>+W5+W6+W7</f>
        <v>0</v>
      </c>
    </row>
    <row r="9" spans="1:29" s="90" customFormat="1">
      <c r="A9" s="90">
        <v>2021</v>
      </c>
      <c r="B9" s="111"/>
      <c r="C9" s="112" t="s">
        <v>235</v>
      </c>
      <c r="D9" s="70">
        <f t="shared" si="1"/>
        <v>173787826</v>
      </c>
      <c r="E9" s="136">
        <f>+'PLAN RASHODA I IZDATAKA'!E3</f>
        <v>153483452</v>
      </c>
      <c r="F9" s="136">
        <f>+'PLAN RASHODA I IZDATAKA'!F3</f>
        <v>0</v>
      </c>
      <c r="G9" s="136">
        <f>+'PLAN RASHODA I IZDATAKA'!G3</f>
        <v>9315000</v>
      </c>
      <c r="H9" s="136">
        <f>+'PLAN RASHODA I IZDATAKA'!H3</f>
        <v>0</v>
      </c>
      <c r="I9" s="136">
        <f>+'PLAN RASHODA I IZDATAKA'!I3</f>
        <v>7000000</v>
      </c>
      <c r="J9" s="136">
        <f>+'PLAN RASHODA I IZDATAKA'!J3</f>
        <v>3659374</v>
      </c>
      <c r="K9" s="136">
        <f>+'PLAN RASHODA I IZDATAKA'!K3</f>
        <v>100000</v>
      </c>
      <c r="L9" s="136">
        <f>+'PLAN RASHODA I IZDATAKA'!L3</f>
        <v>0</v>
      </c>
      <c r="M9" s="136">
        <f>+'PLAN RASHODA I IZDATAKA'!M3</f>
        <v>0</v>
      </c>
      <c r="N9" s="136">
        <f>+'PLAN RASHODA I IZDATAKA'!N3</f>
        <v>0</v>
      </c>
      <c r="O9" s="136">
        <f>+'PLAN RASHODA I IZDATAKA'!O3</f>
        <v>0</v>
      </c>
      <c r="P9" s="136">
        <f>+'PLAN RASHODA I IZDATAKA'!P3</f>
        <v>0</v>
      </c>
      <c r="Q9" s="136">
        <f>+'PLAN RASHODA I IZDATAKA'!Q3</f>
        <v>0</v>
      </c>
      <c r="R9" s="136">
        <f>+'PLAN RASHODA I IZDATAKA'!R3</f>
        <v>0</v>
      </c>
      <c r="S9" s="136">
        <f>+'PLAN RASHODA I IZDATAKA'!S3</f>
        <v>230000</v>
      </c>
      <c r="T9" s="136">
        <f>+'PLAN RASHODA I IZDATAKA'!T3</f>
        <v>0</v>
      </c>
      <c r="U9" s="136">
        <f>+'PLAN RASHODA I IZDATAKA'!U3</f>
        <v>0</v>
      </c>
      <c r="V9" s="136">
        <f>+'PLAN RASHODA I IZDATAKA'!V3</f>
        <v>0</v>
      </c>
      <c r="W9" s="136">
        <f>+'PLAN RASHODA I IZDATAKA'!W3</f>
        <v>0</v>
      </c>
      <c r="X9" s="94"/>
      <c r="Y9" s="94"/>
      <c r="Z9" s="94"/>
      <c r="AA9" s="94"/>
      <c r="AB9" s="94"/>
      <c r="AC9" s="94"/>
    </row>
    <row r="10" spans="1:29" s="90" customFormat="1" ht="13.5" thickBot="1">
      <c r="A10" s="90">
        <v>2021</v>
      </c>
      <c r="B10" s="116"/>
      <c r="C10" s="117" t="s">
        <v>351</v>
      </c>
      <c r="D10" s="70">
        <f t="shared" si="1"/>
        <v>0</v>
      </c>
      <c r="E10" s="118">
        <f>+E8-E9</f>
        <v>0</v>
      </c>
      <c r="F10" s="118">
        <f t="shared" ref="F10:V10" si="3">+F8-F9</f>
        <v>0</v>
      </c>
      <c r="G10" s="118">
        <f t="shared" si="3"/>
        <v>0</v>
      </c>
      <c r="H10" s="118">
        <f>+H8-H9</f>
        <v>0</v>
      </c>
      <c r="I10" s="118">
        <f t="shared" si="3"/>
        <v>0</v>
      </c>
      <c r="J10" s="118">
        <f t="shared" si="3"/>
        <v>0</v>
      </c>
      <c r="K10" s="118">
        <f t="shared" si="3"/>
        <v>0</v>
      </c>
      <c r="L10" s="118">
        <f>+L8-L9</f>
        <v>0</v>
      </c>
      <c r="M10" s="118">
        <f t="shared" si="3"/>
        <v>0</v>
      </c>
      <c r="N10" s="118">
        <f t="shared" si="3"/>
        <v>0</v>
      </c>
      <c r="O10" s="118">
        <f t="shared" si="3"/>
        <v>0</v>
      </c>
      <c r="P10" s="118">
        <f>+P8-P9</f>
        <v>0</v>
      </c>
      <c r="Q10" s="118">
        <f>+Q8-Q9</f>
        <v>0</v>
      </c>
      <c r="R10" s="118">
        <f>+R8-R9</f>
        <v>0</v>
      </c>
      <c r="S10" s="118">
        <f t="shared" si="3"/>
        <v>0</v>
      </c>
      <c r="T10" s="118">
        <f t="shared" si="3"/>
        <v>0</v>
      </c>
      <c r="U10" s="118">
        <f t="shared" si="3"/>
        <v>0</v>
      </c>
      <c r="V10" s="118">
        <f t="shared" si="3"/>
        <v>0</v>
      </c>
      <c r="W10" s="118">
        <f>+W8-W9</f>
        <v>0</v>
      </c>
    </row>
    <row r="11" spans="1:29" s="90" customFormat="1">
      <c r="A11" s="90">
        <v>2021</v>
      </c>
      <c r="B11" s="97" t="s">
        <v>1565</v>
      </c>
      <c r="C11" s="110" t="s">
        <v>1566</v>
      </c>
      <c r="D11" s="70">
        <f>SUM(E11:W11)</f>
        <v>0</v>
      </c>
      <c r="E11" s="189">
        <f>SUMIFS('Plan prihoda za unos u SAP'!$G$3:$G$501,'Plan prihoda za unos u SAP'!$C$3:$C$501,"=11",'Plan prihoda za unos u SAP'!$K$3:$K$501,"=614")</f>
        <v>0</v>
      </c>
      <c r="F11" s="189">
        <f>SUMIFS('Plan prihoda za unos u SAP'!$G$3:$G$501,'Plan prihoda za unos u SAP'!$C$3:$C$501,"=12",'Plan prihoda za unos u SAP'!$K$3:$K$501,"=614")</f>
        <v>0</v>
      </c>
      <c r="G11" s="189">
        <f>SUMIFS('Plan prihoda za unos u SAP'!$G$3:$G$501,'Plan prihoda za unos u SAP'!$C$3:$C$501,"=31",'Plan prihoda za unos u SAP'!$K$3:$K$501,"=614")</f>
        <v>0</v>
      </c>
      <c r="H11" s="189">
        <f>SUMIFS('Plan prihoda za unos u SAP'!$G$3:$G$501,'Plan prihoda za unos u SAP'!$C$3:$C$501,"=41",'Plan prihoda za unos u SAP'!$K$3:$K$501,"=614")</f>
        <v>0</v>
      </c>
      <c r="I11" s="189">
        <f>SUMIFS('Plan prihoda za unos u SAP'!$G$3:$G$501,'Plan prihoda za unos u SAP'!$C$3:$C$501,"=43",'Plan prihoda za unos u SAP'!$K$3:$K$501,"=614")</f>
        <v>0</v>
      </c>
      <c r="J11" s="189">
        <f>SUMIFS('Plan prihoda za unos u SAP'!$G$3:$G$501,'Plan prihoda za unos u SAP'!$C$3:$C$501,"=51",'Plan prihoda za unos u SAP'!$K$3:$K$501,"=614")</f>
        <v>0</v>
      </c>
      <c r="K11" s="189">
        <f>SUMIFS('Plan prihoda za unos u SAP'!$G$3:$G$501,'Plan prihoda za unos u SAP'!$C$3:$C$501,"=52",'Plan prihoda za unos u SAP'!$K$3:$K$501,"=614")</f>
        <v>0</v>
      </c>
      <c r="L11" s="189">
        <f>SUMIFS('Plan prihoda za unos u SAP'!$G$3:$G$501,'Plan prihoda za unos u SAP'!$C$3:$C$501,"=552",'Plan prihoda za unos u SAP'!$K$3:$K$501,"=614")</f>
        <v>0</v>
      </c>
      <c r="M11" s="189">
        <f>SUMIFS('Plan prihoda za unos u SAP'!$G$3:$G$501,'Plan prihoda za unos u SAP'!$C$3:$C$501,"=559",'Plan prihoda za unos u SAP'!$K$3:$K$501,"=614")</f>
        <v>0</v>
      </c>
      <c r="N11" s="189">
        <f>SUMIFS('Plan prihoda za unos u SAP'!$G$3:$G$501,'Plan prihoda za unos u SAP'!$C$3:$C$501,"=561",'Plan prihoda za unos u SAP'!$K$3:$K$501,"=614")</f>
        <v>0</v>
      </c>
      <c r="O11" s="189">
        <f>SUMIFS('Plan prihoda za unos u SAP'!$G$3:$G$501,'Plan prihoda za unos u SAP'!$C$3:$C$501,"=563",'Plan prihoda za unos u SAP'!$K$3:$K$501,"=614")</f>
        <v>0</v>
      </c>
      <c r="P11" s="189">
        <f>SUMIFS('Plan prihoda za unos u SAP'!$G$3:$G$501,'Plan prihoda za unos u SAP'!$C$3:$C$501,"=573",'Plan prihoda za unos u SAP'!$K$3:$K$501,"=614")</f>
        <v>0</v>
      </c>
      <c r="Q11" s="189">
        <f>SUMIFS('Plan prihoda za unos u SAP'!$G$3:$G$501,'Plan prihoda za unos u SAP'!$C$3:$C$501,"=575",'Plan prihoda za unos u SAP'!$K$3:$K$501,"=614")</f>
        <v>0</v>
      </c>
      <c r="R11" s="189">
        <f>SUMIFS('Plan prihoda za unos u SAP'!$G$3:$G$501,'Plan prihoda za unos u SAP'!$C$3:$C$501,"=576",'Plan prihoda za unos u SAP'!$K$3:$K$501,"=614")</f>
        <v>0</v>
      </c>
      <c r="S11" s="189">
        <f>SUMIFS('Plan prihoda za unos u SAP'!$G$3:$G$501,'Plan prihoda za unos u SAP'!$C$3:$C$501,"=61",'Plan prihoda za unos u SAP'!$K$3:$K$501,"=614")</f>
        <v>0</v>
      </c>
      <c r="T11" s="189">
        <f>SUMIFS('Plan prihoda za unos u SAP'!$G$3:$G$501,'Plan prihoda za unos u SAP'!$C$3:$C$501,"=63",'Plan prihoda za unos u SAP'!$K$3:$K$501,"=614")</f>
        <v>0</v>
      </c>
      <c r="U11" s="189">
        <f>SUMIFS('Plan prihoda za unos u SAP'!$G$3:$G$501,'Plan prihoda za unos u SAP'!$C$3:$C$501,"=71",'Plan prihoda za unos u SAP'!$K$3:$K$501,"=614")</f>
        <v>0</v>
      </c>
      <c r="V11" s="189">
        <f>SUMIFS('Plan prihoda za unos u SAP'!$G$3:$G$501,'Plan prihoda za unos u SAP'!$C$3:$C$501,"=81",'Plan prihoda za unos u SAP'!$K$3:$K$501,"=614")</f>
        <v>0</v>
      </c>
      <c r="W11" s="189">
        <f>SUMIFS('Plan prihoda za unos u SAP'!$G$3:$G$501,'Plan prihoda za unos u SAP'!$C$3:$C$501,"=83",'Plan prihoda za unos u SAP'!$K$3:$K$501,"=614")</f>
        <v>0</v>
      </c>
    </row>
    <row r="12" spans="1:29" s="90" customFormat="1">
      <c r="A12" s="90">
        <v>2021</v>
      </c>
      <c r="B12" s="97" t="s">
        <v>281</v>
      </c>
      <c r="C12" s="110" t="s">
        <v>282</v>
      </c>
      <c r="D12" s="70">
        <f t="shared" si="1"/>
        <v>0</v>
      </c>
      <c r="E12" s="189">
        <f>SUMIFS('Plan prihoda za unos u SAP'!$G$3:$G$501,'Plan prihoda za unos u SAP'!$C$3:$C$501,"=11",'Plan prihoda za unos u SAP'!$K$3:$K$501,"=631")</f>
        <v>0</v>
      </c>
      <c r="F12" s="189">
        <f>SUMIFS('Plan prihoda za unos u SAP'!$G$3:$G$501,'Plan prihoda za unos u SAP'!$C$3:$C$501,"=12",'Plan prihoda za unos u SAP'!$K$3:$K$501,"=631")</f>
        <v>0</v>
      </c>
      <c r="G12" s="189">
        <f>SUMIFS('Plan prihoda za unos u SAP'!$G$3:$G$501,'Plan prihoda za unos u SAP'!$C$3:$C$501,"=31",'Plan prihoda za unos u SAP'!$K$3:$K$501,"=631")</f>
        <v>0</v>
      </c>
      <c r="H12" s="189">
        <f>SUMIFS('Plan prihoda za unos u SAP'!$G$3:$G$501,'Plan prihoda za unos u SAP'!$C$3:$C$501,"=41",'Plan prihoda za unos u SAP'!$K$3:$K$501,"=631")</f>
        <v>0</v>
      </c>
      <c r="I12" s="189">
        <f>SUMIFS('Plan prihoda za unos u SAP'!$G$3:$G$501,'Plan prihoda za unos u SAP'!$C$3:$C$501,"=43",'Plan prihoda za unos u SAP'!$K$3:$K$501,"=631")</f>
        <v>0</v>
      </c>
      <c r="J12" s="189">
        <f>SUMIFS('Plan prihoda za unos u SAP'!$G$3:$G$501,'Plan prihoda za unos u SAP'!$C$3:$C$501,"=51",'Plan prihoda za unos u SAP'!$K$3:$K$501,"=631")</f>
        <v>0</v>
      </c>
      <c r="K12" s="189">
        <f>SUMIFS('Plan prihoda za unos u SAP'!$G$3:$G$501,'Plan prihoda za unos u SAP'!$C$3:$C$501,"=52",'Plan prihoda za unos u SAP'!$K$3:$K$501,"=631")</f>
        <v>0</v>
      </c>
      <c r="L12" s="189">
        <f>SUMIFS('Plan prihoda za unos u SAP'!$G$3:$G$501,'Plan prihoda za unos u SAP'!$C$3:$C$501,"=552",'Plan prihoda za unos u SAP'!$K$3:$K$501,"=631")</f>
        <v>0</v>
      </c>
      <c r="M12" s="189">
        <f>SUMIFS('Plan prihoda za unos u SAP'!$G$3:$G$501,'Plan prihoda za unos u SAP'!$C$3:$C$501,"=559",'Plan prihoda za unos u SAP'!$K$3:$K$501,"=631")</f>
        <v>0</v>
      </c>
      <c r="N12" s="189">
        <f>SUMIFS('Plan prihoda za unos u SAP'!$G$3:$G$501,'Plan prihoda za unos u SAP'!$C$3:$C$501,"=561",'Plan prihoda za unos u SAP'!$K$3:$K$501,"=631")</f>
        <v>0</v>
      </c>
      <c r="O12" s="189">
        <f>SUMIFS('Plan prihoda za unos u SAP'!$G$3:$G$501,'Plan prihoda za unos u SAP'!$C$3:$C$501,"=563",'Plan prihoda za unos u SAP'!$K$3:$K$501,"=631")</f>
        <v>0</v>
      </c>
      <c r="P12" s="189">
        <f>SUMIFS('Plan prihoda za unos u SAP'!$G$3:$G$501,'Plan prihoda za unos u SAP'!$C$3:$C$501,"=573",'Plan prihoda za unos u SAP'!$K$3:$K$501,"=631")</f>
        <v>0</v>
      </c>
      <c r="Q12" s="189">
        <f>SUMIFS('Plan prihoda za unos u SAP'!$G$3:$G$501,'Plan prihoda za unos u SAP'!$C$3:$C$501,"=575",'Plan prihoda za unos u SAP'!$K$3:$K$501,"=631")</f>
        <v>0</v>
      </c>
      <c r="R12" s="189">
        <f>SUMIFS('Plan prihoda za unos u SAP'!$G$3:$G$501,'Plan prihoda za unos u SAP'!$C$3:$C$501,"=576",'Plan prihoda za unos u SAP'!$K$3:$K$501,"=631")</f>
        <v>0</v>
      </c>
      <c r="S12" s="189">
        <f>SUMIFS('Plan prihoda za unos u SAP'!$G$3:$G$501,'Plan prihoda za unos u SAP'!$C$3:$C$501,"=61",'Plan prihoda za unos u SAP'!$K$3:$K$501,"=631")</f>
        <v>0</v>
      </c>
      <c r="T12" s="189">
        <f>SUMIFS('Plan prihoda za unos u SAP'!$G$3:$G$501,'Plan prihoda za unos u SAP'!$C$3:$C$501,"=63",'Plan prihoda za unos u SAP'!$K$3:$K$501,"=631")</f>
        <v>0</v>
      </c>
      <c r="U12" s="189">
        <f>SUMIFS('Plan prihoda za unos u SAP'!$G$3:$G$501,'Plan prihoda za unos u SAP'!$C$3:$C$501,"=71",'Plan prihoda za unos u SAP'!$K$3:$K$501,"=631")</f>
        <v>0</v>
      </c>
      <c r="V12" s="189">
        <f>SUMIFS('Plan prihoda za unos u SAP'!$G$3:$G$501,'Plan prihoda za unos u SAP'!$C$3:$C$501,"=81",'Plan prihoda za unos u SAP'!$K$3:$K$501,"=631")</f>
        <v>0</v>
      </c>
      <c r="W12" s="189">
        <f>SUMIFS('Plan prihoda za unos u SAP'!$G$3:$G$501,'Plan prihoda za unos u SAP'!$C$3:$C$501,"=83",'Plan prihoda za unos u SAP'!$K$3:$K$501,"=631")</f>
        <v>0</v>
      </c>
    </row>
    <row r="13" spans="1:29" s="90" customFormat="1">
      <c r="A13" s="90">
        <v>2021</v>
      </c>
      <c r="B13" s="95" t="s">
        <v>283</v>
      </c>
      <c r="C13" s="96" t="s">
        <v>284</v>
      </c>
      <c r="D13" s="70">
        <f t="shared" si="1"/>
        <v>3759374</v>
      </c>
      <c r="E13" s="189">
        <f>SUMIFS('Plan prihoda za unos u SAP'!$G$3:$G$501,'Plan prihoda za unos u SAP'!$C$3:$C$501,"=11",'Plan prihoda za unos u SAP'!$K$3:$K$501,"=632")</f>
        <v>0</v>
      </c>
      <c r="F13" s="189">
        <f>SUMIFS('Plan prihoda za unos u SAP'!$G$3:$G$501,'Plan prihoda za unos u SAP'!$C$3:$C$501,"=12",'Plan prihoda za unos u SAP'!$K$3:$K$501,"=632")</f>
        <v>0</v>
      </c>
      <c r="G13" s="189">
        <f>SUMIFS('Plan prihoda za unos u SAP'!$G$3:$G$501,'Plan prihoda za unos u SAP'!$C$3:$C$501,"=31",'Plan prihoda za unos u SAP'!$K$3:$K$501,"=632")</f>
        <v>0</v>
      </c>
      <c r="H13" s="189">
        <f>SUMIFS('Plan prihoda za unos u SAP'!$G$3:$G$501,'Plan prihoda za unos u SAP'!$C$3:$C$501,"=41",'Plan prihoda za unos u SAP'!$K$3:$K$501,"=632")</f>
        <v>0</v>
      </c>
      <c r="I13" s="189">
        <f>SUMIFS('Plan prihoda za unos u SAP'!$G$3:$G$501,'Plan prihoda za unos u SAP'!$C$3:$C$501,"=43",'Plan prihoda za unos u SAP'!$K$3:$K$501,"=632")</f>
        <v>0</v>
      </c>
      <c r="J13" s="189">
        <f>SUMIFS('Plan prihoda za unos u SAP'!$G$3:$G$501,'Plan prihoda za unos u SAP'!$C$3:$C$501,"=51",'Plan prihoda za unos u SAP'!$K$3:$K$501,"=632")</f>
        <v>3659374</v>
      </c>
      <c r="K13" s="189">
        <f>SUMIFS('Plan prihoda za unos u SAP'!$G$3:$G$501,'Plan prihoda za unos u SAP'!$C$3:$C$501,"=52",'Plan prihoda za unos u SAP'!$K$3:$K$501,"=632")</f>
        <v>100000</v>
      </c>
      <c r="L13" s="189">
        <f>SUMIFS('Plan prihoda za unos u SAP'!$G$3:$G$501,'Plan prihoda za unos u SAP'!$C$3:$C$501,"=552",'Plan prihoda za unos u SAP'!$K$3:$K$501,"=632")</f>
        <v>0</v>
      </c>
      <c r="M13" s="189">
        <f>SUMIFS('Plan prihoda za unos u SAP'!$G$3:$G$501,'Plan prihoda za unos u SAP'!$C$3:$C$501,"=559",'Plan prihoda za unos u SAP'!$K$3:$K$501,"=632")</f>
        <v>0</v>
      </c>
      <c r="N13" s="189">
        <f>SUMIFS('Plan prihoda za unos u SAP'!$G$3:$G$501,'Plan prihoda za unos u SAP'!$C$3:$C$501,"=561",'Plan prihoda za unos u SAP'!$K$3:$K$501,"=632")</f>
        <v>0</v>
      </c>
      <c r="O13" s="189">
        <f>SUMIFS('Plan prihoda za unos u SAP'!$G$3:$G$501,'Plan prihoda za unos u SAP'!$C$3:$C$501,"=563",'Plan prihoda za unos u SAP'!$K$3:$K$501,"=632")</f>
        <v>0</v>
      </c>
      <c r="P13" s="189">
        <f>SUMIFS('Plan prihoda za unos u SAP'!$G$3:$G$501,'Plan prihoda za unos u SAP'!$C$3:$C$501,"=573",'Plan prihoda za unos u SAP'!$K$3:$K$501,"=632")</f>
        <v>0</v>
      </c>
      <c r="Q13" s="189">
        <f>SUMIFS('Plan prihoda za unos u SAP'!$G$3:$G$501,'Plan prihoda za unos u SAP'!$C$3:$C$501,"=575",'Plan prihoda za unos u SAP'!$K$3:$K$501,"=632")</f>
        <v>0</v>
      </c>
      <c r="R13" s="189">
        <f>SUMIFS('Plan prihoda za unos u SAP'!$G$3:$G$501,'Plan prihoda za unos u SAP'!$C$3:$C$501,"=576",'Plan prihoda za unos u SAP'!$K$3:$K$501,"=632")</f>
        <v>0</v>
      </c>
      <c r="S13" s="189">
        <f>SUMIFS('Plan prihoda za unos u SAP'!$G$3:$G$501,'Plan prihoda za unos u SAP'!$C$3:$C$501,"=61",'Plan prihoda za unos u SAP'!$K$3:$K$501,"=632")</f>
        <v>0</v>
      </c>
      <c r="T13" s="189">
        <f>SUMIFS('Plan prihoda za unos u SAP'!$G$3:$G$501,'Plan prihoda za unos u SAP'!$C$3:$C$501,"=63",'Plan prihoda za unos u SAP'!$K$3:$K$501,"=632")</f>
        <v>0</v>
      </c>
      <c r="U13" s="189">
        <f>SUMIFS('Plan prihoda za unos u SAP'!$G$3:$G$501,'Plan prihoda za unos u SAP'!$C$3:$C$501,"=71",'Plan prihoda za unos u SAP'!$K$3:$K$501,"=632")</f>
        <v>0</v>
      </c>
      <c r="V13" s="189">
        <f>SUMIFS('Plan prihoda za unos u SAP'!$G$3:$G$501,'Plan prihoda za unos u SAP'!$C$3:$C$501,"=81",'Plan prihoda za unos u SAP'!$K$3:$K$501,"=632")</f>
        <v>0</v>
      </c>
      <c r="W13" s="189">
        <f>SUMIFS('Plan prihoda za unos u SAP'!$G$3:$G$501,'Plan prihoda za unos u SAP'!$C$3:$C$501,"=83",'Plan prihoda za unos u SAP'!$K$3:$K$501,"=632")</f>
        <v>0</v>
      </c>
    </row>
    <row r="14" spans="1:29" s="90" customFormat="1">
      <c r="A14" s="90">
        <v>2021</v>
      </c>
      <c r="B14" s="95" t="s">
        <v>285</v>
      </c>
      <c r="C14" s="96" t="s">
        <v>286</v>
      </c>
      <c r="D14" s="70">
        <f t="shared" si="1"/>
        <v>0</v>
      </c>
      <c r="E14" s="189">
        <f>SUMIFS('Plan prihoda za unos u SAP'!$G$3:$G$501,'Plan prihoda za unos u SAP'!$C$3:$C$501,"=11",'Plan prihoda za unos u SAP'!$K$3:$K$501,"=634")</f>
        <v>0</v>
      </c>
      <c r="F14" s="189">
        <f>SUMIFS('Plan prihoda za unos u SAP'!$G$3:$G$501,'Plan prihoda za unos u SAP'!$C$3:$C$501,"=12",'Plan prihoda za unos u SAP'!$K$3:$K$501,"=634")</f>
        <v>0</v>
      </c>
      <c r="G14" s="189">
        <f>SUMIFS('Plan prihoda za unos u SAP'!$G$3:$G$501,'Plan prihoda za unos u SAP'!$C$3:$C$501,"=31",'Plan prihoda za unos u SAP'!$K$3:$K$501,"=634")</f>
        <v>0</v>
      </c>
      <c r="H14" s="189">
        <f>SUMIFS('Plan prihoda za unos u SAP'!$G$3:$G$501,'Plan prihoda za unos u SAP'!$C$3:$C$501,"=41",'Plan prihoda za unos u SAP'!$K$3:$K$501,"=634")</f>
        <v>0</v>
      </c>
      <c r="I14" s="189">
        <f>SUMIFS('Plan prihoda za unos u SAP'!$G$3:$G$501,'Plan prihoda za unos u SAP'!$C$3:$C$501,"=43",'Plan prihoda za unos u SAP'!$K$3:$K$501,"=634")</f>
        <v>0</v>
      </c>
      <c r="J14" s="189">
        <f>SUMIFS('Plan prihoda za unos u SAP'!$G$3:$G$501,'Plan prihoda za unos u SAP'!$C$3:$C$501,"=51",'Plan prihoda za unos u SAP'!$K$3:$K$501,"=634")</f>
        <v>0</v>
      </c>
      <c r="K14" s="189">
        <f>SUMIFS('Plan prihoda za unos u SAP'!$G$3:$G$501,'Plan prihoda za unos u SAP'!$C$3:$C$501,"=52",'Plan prihoda za unos u SAP'!$K$3:$K$501,"=634")</f>
        <v>0</v>
      </c>
      <c r="L14" s="189">
        <f>SUMIFS('Plan prihoda za unos u SAP'!$G$3:$G$501,'Plan prihoda za unos u SAP'!$C$3:$C$501,"=552",'Plan prihoda za unos u SAP'!$K$3:$K$501,"=634")</f>
        <v>0</v>
      </c>
      <c r="M14" s="189">
        <f>SUMIFS('Plan prihoda za unos u SAP'!$G$3:$G$501,'Plan prihoda za unos u SAP'!$C$3:$C$501,"=559",'Plan prihoda za unos u SAP'!$K$3:$K$501,"=634")</f>
        <v>0</v>
      </c>
      <c r="N14" s="189">
        <f>SUMIFS('Plan prihoda za unos u SAP'!$G$3:$G$501,'Plan prihoda za unos u SAP'!$C$3:$C$501,"=561",'Plan prihoda za unos u SAP'!$K$3:$K$501,"=634")</f>
        <v>0</v>
      </c>
      <c r="O14" s="189">
        <f>SUMIFS('Plan prihoda za unos u SAP'!$G$3:$G$501,'Plan prihoda za unos u SAP'!$C$3:$C$501,"=563",'Plan prihoda za unos u SAP'!$K$3:$K$501,"=634")</f>
        <v>0</v>
      </c>
      <c r="P14" s="189">
        <f>SUMIFS('Plan prihoda za unos u SAP'!$G$3:$G$501,'Plan prihoda za unos u SAP'!$C$3:$C$501,"=573",'Plan prihoda za unos u SAP'!$K$3:$K$501,"=634")</f>
        <v>0</v>
      </c>
      <c r="Q14" s="189">
        <f>SUMIFS('Plan prihoda za unos u SAP'!$G$3:$G$501,'Plan prihoda za unos u SAP'!$C$3:$C$501,"=575",'Plan prihoda za unos u SAP'!$K$3:$K$501,"=634")</f>
        <v>0</v>
      </c>
      <c r="R14" s="189">
        <f>SUMIFS('Plan prihoda za unos u SAP'!$G$3:$G$501,'Plan prihoda za unos u SAP'!$C$3:$C$501,"=576",'Plan prihoda za unos u SAP'!$K$3:$K$501,"=634")</f>
        <v>0</v>
      </c>
      <c r="S14" s="189">
        <f>SUMIFS('Plan prihoda za unos u SAP'!$G$3:$G$501,'Plan prihoda za unos u SAP'!$C$3:$C$501,"=61",'Plan prihoda za unos u SAP'!$K$3:$K$501,"=634")</f>
        <v>0</v>
      </c>
      <c r="T14" s="189">
        <f>SUMIFS('Plan prihoda za unos u SAP'!$G$3:$G$501,'Plan prihoda za unos u SAP'!$C$3:$C$501,"=63",'Plan prihoda za unos u SAP'!$K$3:$K$501,"=634")</f>
        <v>0</v>
      </c>
      <c r="U14" s="189">
        <f>SUMIFS('Plan prihoda za unos u SAP'!$G$3:$G$501,'Plan prihoda za unos u SAP'!$C$3:$C$501,"=71",'Plan prihoda za unos u SAP'!$K$3:$K$501,"=634")</f>
        <v>0</v>
      </c>
      <c r="V14" s="189">
        <f>SUMIFS('Plan prihoda za unos u SAP'!$G$3:$G$501,'Plan prihoda za unos u SAP'!$C$3:$C$501,"=81",'Plan prihoda za unos u SAP'!$K$3:$K$501,"=634")</f>
        <v>0</v>
      </c>
      <c r="W14" s="189">
        <f>SUMIFS('Plan prihoda za unos u SAP'!$G$3:$G$501,'Plan prihoda za unos u SAP'!$C$3:$C$501,"=83",'Plan prihoda za unos u SAP'!$K$3:$K$501,"=634")</f>
        <v>0</v>
      </c>
    </row>
    <row r="15" spans="1:29" s="90" customFormat="1">
      <c r="A15" s="90">
        <v>2021</v>
      </c>
      <c r="B15" s="215" t="s">
        <v>762</v>
      </c>
      <c r="C15" s="96" t="s">
        <v>763</v>
      </c>
      <c r="D15" s="70">
        <f>SUM(E15:W15)</f>
        <v>0</v>
      </c>
      <c r="E15" s="189">
        <f>SUMIFS('Plan prihoda za unos u SAP'!$G$3:$G$501,'Plan prihoda za unos u SAP'!$C$3:$C$501,"=11",'Plan prihoda za unos u SAP'!$K$3:$K$501,"=636")</f>
        <v>0</v>
      </c>
      <c r="F15" s="189">
        <f>SUMIFS('Plan prihoda za unos u SAP'!$G$3:$G$501,'Plan prihoda za unos u SAP'!$C$3:$C$501,"=12",'Plan prihoda za unos u SAP'!$K$3:$K$501,"=636")</f>
        <v>0</v>
      </c>
      <c r="G15" s="189">
        <f>SUMIFS('Plan prihoda za unos u SAP'!$G$3:$G$501,'Plan prihoda za unos u SAP'!$C$3:$C$501,"=31",'Plan prihoda za unos u SAP'!$K$3:$K$501,"=636")</f>
        <v>0</v>
      </c>
      <c r="H15" s="189">
        <f>SUMIFS('Plan prihoda za unos u SAP'!$G$3:$G$501,'Plan prihoda za unos u SAP'!$C$3:$C$501,"=41",'Plan prihoda za unos u SAP'!$K$3:$K$501,"=636")</f>
        <v>0</v>
      </c>
      <c r="I15" s="189">
        <f>SUMIFS('Plan prihoda za unos u SAP'!$G$3:$G$501,'Plan prihoda za unos u SAP'!$C$3:$C$501,"=43",'Plan prihoda za unos u SAP'!$K$3:$K$501,"=636")</f>
        <v>0</v>
      </c>
      <c r="J15" s="189">
        <f>SUMIFS('Plan prihoda za unos u SAP'!$G$3:$G$501,'Plan prihoda za unos u SAP'!$C$3:$C$501,"=51",'Plan prihoda za unos u SAP'!$K$3:$K$501,"=636")</f>
        <v>0</v>
      </c>
      <c r="K15" s="189">
        <f>SUMIFS('Plan prihoda za unos u SAP'!$G$3:$G$501,'Plan prihoda za unos u SAP'!$C$3:$C$501,"=52",'Plan prihoda za unos u SAP'!$K$3:$K$501,"=636")</f>
        <v>0</v>
      </c>
      <c r="L15" s="189">
        <f>SUMIFS('Plan prihoda za unos u SAP'!$G$3:$G$501,'Plan prihoda za unos u SAP'!$C$3:$C$501,"=552",'Plan prihoda za unos u SAP'!$K$3:$K$501,"=636")</f>
        <v>0</v>
      </c>
      <c r="M15" s="189">
        <f>SUMIFS('Plan prihoda za unos u SAP'!$G$3:$G$501,'Plan prihoda za unos u SAP'!$C$3:$C$501,"=559",'Plan prihoda za unos u SAP'!$K$3:$K$501,"=636")</f>
        <v>0</v>
      </c>
      <c r="N15" s="189">
        <f>SUMIFS('Plan prihoda za unos u SAP'!$G$3:$G$501,'Plan prihoda za unos u SAP'!$C$3:$C$501,"=561",'Plan prihoda za unos u SAP'!$K$3:$K$501,"=636")</f>
        <v>0</v>
      </c>
      <c r="O15" s="189">
        <f>SUMIFS('Plan prihoda za unos u SAP'!$G$3:$G$501,'Plan prihoda za unos u SAP'!$C$3:$C$501,"=563",'Plan prihoda za unos u SAP'!$K$3:$K$501,"=636")</f>
        <v>0</v>
      </c>
      <c r="P15" s="189">
        <f>SUMIFS('Plan prihoda za unos u SAP'!$G$3:$G$501,'Plan prihoda za unos u SAP'!$C$3:$C$501,"=573",'Plan prihoda za unos u SAP'!$K$3:$K$501,"=636")</f>
        <v>0</v>
      </c>
      <c r="Q15" s="189">
        <f>SUMIFS('Plan prihoda za unos u SAP'!$G$3:$G$501,'Plan prihoda za unos u SAP'!$C$3:$C$501,"=575",'Plan prihoda za unos u SAP'!$K$3:$K$501,"=636")</f>
        <v>0</v>
      </c>
      <c r="R15" s="189">
        <f>SUMIFS('Plan prihoda za unos u SAP'!$G$3:$G$501,'Plan prihoda za unos u SAP'!$C$3:$C$501,"=576",'Plan prihoda za unos u SAP'!$K$3:$K$501,"=636")</f>
        <v>0</v>
      </c>
      <c r="S15" s="189">
        <f>SUMIFS('Plan prihoda za unos u SAP'!$G$3:$G$501,'Plan prihoda za unos u SAP'!$C$3:$C$501,"=61",'Plan prihoda za unos u SAP'!$K$3:$K$501,"=636")</f>
        <v>0</v>
      </c>
      <c r="T15" s="189">
        <f>SUMIFS('Plan prihoda za unos u SAP'!$G$3:$G$501,'Plan prihoda za unos u SAP'!$C$3:$C$501,"=63",'Plan prihoda za unos u SAP'!$K$3:$K$501,"=636")</f>
        <v>0</v>
      </c>
      <c r="U15" s="189">
        <f>SUMIFS('Plan prihoda za unos u SAP'!$G$3:$G$501,'Plan prihoda za unos u SAP'!$C$3:$C$501,"=71",'Plan prihoda za unos u SAP'!$K$3:$K$501,"=636")</f>
        <v>0</v>
      </c>
      <c r="V15" s="189">
        <f>SUMIFS('Plan prihoda za unos u SAP'!$G$3:$G$501,'Plan prihoda za unos u SAP'!$C$3:$C$501,"=81",'Plan prihoda za unos u SAP'!$K$3:$K$501,"=636")</f>
        <v>0</v>
      </c>
      <c r="W15" s="189">
        <f>SUMIFS('Plan prihoda za unos u SAP'!$G$3:$G$501,'Plan prihoda za unos u SAP'!$C$3:$C$501,"=83",'Plan prihoda za unos u SAP'!$K$3:$K$501,"=636")</f>
        <v>0</v>
      </c>
    </row>
    <row r="16" spans="1:29" s="90" customFormat="1">
      <c r="A16" s="90">
        <v>2021</v>
      </c>
      <c r="B16" s="95" t="s">
        <v>287</v>
      </c>
      <c r="C16" s="96" t="s">
        <v>288</v>
      </c>
      <c r="D16" s="70">
        <f t="shared" si="1"/>
        <v>0</v>
      </c>
      <c r="E16" s="189">
        <f>SUMIFS('Plan prihoda za unos u SAP'!$G$3:$G$501,'Plan prihoda za unos u SAP'!$C$3:$C$501,"=11",'Plan prihoda za unos u SAP'!$K$3:$K$501,"=638")</f>
        <v>0</v>
      </c>
      <c r="F16" s="189">
        <f>SUMIFS('Plan prihoda za unos u SAP'!$G$3:$G$501,'Plan prihoda za unos u SAP'!$C$3:$C$501,"=12",'Plan prihoda za unos u SAP'!$K$3:$K$501,"=638")</f>
        <v>0</v>
      </c>
      <c r="G16" s="189">
        <f>SUMIFS('Plan prihoda za unos u SAP'!$G$3:$G$501,'Plan prihoda za unos u SAP'!$C$3:$C$501,"=31",'Plan prihoda za unos u SAP'!$K$3:$K$501,"=638")</f>
        <v>0</v>
      </c>
      <c r="H16" s="189">
        <f>SUMIFS('Plan prihoda za unos u SAP'!$G$3:$G$501,'Plan prihoda za unos u SAP'!$C$3:$C$501,"=41",'Plan prihoda za unos u SAP'!$K$3:$K$501,"=638")</f>
        <v>0</v>
      </c>
      <c r="I16" s="189">
        <f>SUMIFS('Plan prihoda za unos u SAP'!$G$3:$G$501,'Plan prihoda za unos u SAP'!$C$3:$C$501,"=43",'Plan prihoda za unos u SAP'!$K$3:$K$501,"=638")</f>
        <v>0</v>
      </c>
      <c r="J16" s="189">
        <f>SUMIFS('Plan prihoda za unos u SAP'!$G$3:$G$501,'Plan prihoda za unos u SAP'!$C$3:$C$501,"=51",'Plan prihoda za unos u SAP'!$K$3:$K$501,"=638")</f>
        <v>0</v>
      </c>
      <c r="K16" s="189">
        <f>SUMIFS('Plan prihoda za unos u SAP'!$G$3:$G$501,'Plan prihoda za unos u SAP'!$C$3:$C$501,"=52",'Plan prihoda za unos u SAP'!$K$3:$K$501,"=638")</f>
        <v>0</v>
      </c>
      <c r="L16" s="189">
        <f>SUMIFS('Plan prihoda za unos u SAP'!$G$3:$G$501,'Plan prihoda za unos u SAP'!$C$3:$C$501,"=552",'Plan prihoda za unos u SAP'!$K$3:$K$501,"=638")</f>
        <v>0</v>
      </c>
      <c r="M16" s="189">
        <f>SUMIFS('Plan prihoda za unos u SAP'!$G$3:$G$501,'Plan prihoda za unos u SAP'!$C$3:$C$501,"=559",'Plan prihoda za unos u SAP'!$K$3:$K$501,"=638")</f>
        <v>0</v>
      </c>
      <c r="N16" s="189">
        <f>SUMIFS('Plan prihoda za unos u SAP'!$G$3:$G$501,'Plan prihoda za unos u SAP'!$C$3:$C$501,"=561",'Plan prihoda za unos u SAP'!$K$3:$K$501,"=638")</f>
        <v>0</v>
      </c>
      <c r="O16" s="189">
        <f>SUMIFS('Plan prihoda za unos u SAP'!$G$3:$G$501,'Plan prihoda za unos u SAP'!$C$3:$C$501,"=563",'Plan prihoda za unos u SAP'!$K$3:$K$501,"=638")</f>
        <v>0</v>
      </c>
      <c r="P16" s="189">
        <f>SUMIFS('Plan prihoda za unos u SAP'!$G$3:$G$501,'Plan prihoda za unos u SAP'!$C$3:$C$501,"=573",'Plan prihoda za unos u SAP'!$K$3:$K$501,"=638")</f>
        <v>0</v>
      </c>
      <c r="Q16" s="189">
        <f>SUMIFS('Plan prihoda za unos u SAP'!$G$3:$G$501,'Plan prihoda za unos u SAP'!$C$3:$C$501,"=575",'Plan prihoda za unos u SAP'!$K$3:$K$501,"=638")</f>
        <v>0</v>
      </c>
      <c r="R16" s="189">
        <f>SUMIFS('Plan prihoda za unos u SAP'!$G$3:$G$501,'Plan prihoda za unos u SAP'!$C$3:$C$501,"=576",'Plan prihoda za unos u SAP'!$K$3:$K$501,"=638")</f>
        <v>0</v>
      </c>
      <c r="S16" s="189">
        <f>SUMIFS('Plan prihoda za unos u SAP'!$G$3:$G$501,'Plan prihoda za unos u SAP'!$C$3:$C$501,"=61",'Plan prihoda za unos u SAP'!$K$3:$K$501,"=638")</f>
        <v>0</v>
      </c>
      <c r="T16" s="189">
        <f>SUMIFS('Plan prihoda za unos u SAP'!$G$3:$G$501,'Plan prihoda za unos u SAP'!$C$3:$C$501,"=63",'Plan prihoda za unos u SAP'!$K$3:$K$501,"=638")</f>
        <v>0</v>
      </c>
      <c r="U16" s="189">
        <f>SUMIFS('Plan prihoda za unos u SAP'!$G$3:$G$501,'Plan prihoda za unos u SAP'!$C$3:$C$501,"=71",'Plan prihoda za unos u SAP'!$K$3:$K$501,"=638")</f>
        <v>0</v>
      </c>
      <c r="V16" s="189">
        <f>SUMIFS('Plan prihoda za unos u SAP'!$G$3:$G$501,'Plan prihoda za unos u SAP'!$C$3:$C$501,"=81",'Plan prihoda za unos u SAP'!$K$3:$K$501,"=638")</f>
        <v>0</v>
      </c>
      <c r="W16" s="189">
        <f>SUMIFS('Plan prihoda za unos u SAP'!$G$3:$G$501,'Plan prihoda za unos u SAP'!$C$3:$C$501,"=83",'Plan prihoda za unos u SAP'!$K$3:$K$501,"=638")</f>
        <v>0</v>
      </c>
    </row>
    <row r="17" spans="1:23" s="90" customFormat="1">
      <c r="A17" s="90">
        <v>2021</v>
      </c>
      <c r="B17" s="95" t="s">
        <v>289</v>
      </c>
      <c r="C17" s="96" t="s">
        <v>41</v>
      </c>
      <c r="D17" s="70">
        <f t="shared" si="1"/>
        <v>0</v>
      </c>
      <c r="E17" s="189">
        <f>SUMIFS('Plan prihoda za unos u SAP'!$G$3:$G$501,'Plan prihoda za unos u SAP'!$C$3:$C$501,"=11",'Plan prihoda za unos u SAP'!$K$3:$K$501,"=639")</f>
        <v>0</v>
      </c>
      <c r="F17" s="189">
        <f>SUMIFS('Plan prihoda za unos u SAP'!$G$3:$G$501,'Plan prihoda za unos u SAP'!$C$3:$C$501,"=12",'Plan prihoda za unos u SAP'!$K$3:$K$501,"=639")</f>
        <v>0</v>
      </c>
      <c r="G17" s="189">
        <f>SUMIFS('Plan prihoda za unos u SAP'!$G$3:$G$501,'Plan prihoda za unos u SAP'!$C$3:$C$501,"=31",'Plan prihoda za unos u SAP'!$K$3:$K$501,"=639")</f>
        <v>0</v>
      </c>
      <c r="H17" s="189">
        <f>SUMIFS('Plan prihoda za unos u SAP'!$G$3:$G$501,'Plan prihoda za unos u SAP'!$C$3:$C$501,"=41",'Plan prihoda za unos u SAP'!$K$3:$K$501,"=639")</f>
        <v>0</v>
      </c>
      <c r="I17" s="189">
        <f>SUMIFS('Plan prihoda za unos u SAP'!$G$3:$G$501,'Plan prihoda za unos u SAP'!$C$3:$C$501,"=43",'Plan prihoda za unos u SAP'!$K$3:$K$501,"=639")</f>
        <v>0</v>
      </c>
      <c r="J17" s="189">
        <f>SUMIFS('Plan prihoda za unos u SAP'!$G$3:$G$501,'Plan prihoda za unos u SAP'!$C$3:$C$501,"=51",'Plan prihoda za unos u SAP'!$K$3:$K$501,"=639")</f>
        <v>0</v>
      </c>
      <c r="K17" s="189">
        <f>SUMIFS('Plan prihoda za unos u SAP'!$G$3:$G$501,'Plan prihoda za unos u SAP'!$C$3:$C$501,"=52",'Plan prihoda za unos u SAP'!$K$3:$K$501,"=639")</f>
        <v>0</v>
      </c>
      <c r="L17" s="189">
        <f>SUMIFS('Plan prihoda za unos u SAP'!$G$3:$G$501,'Plan prihoda za unos u SAP'!$C$3:$C$501,"=552",'Plan prihoda za unos u SAP'!$K$3:$K$501,"=639")</f>
        <v>0</v>
      </c>
      <c r="M17" s="189">
        <f>SUMIFS('Plan prihoda za unos u SAP'!$G$3:$G$501,'Plan prihoda za unos u SAP'!$C$3:$C$501,"=559",'Plan prihoda za unos u SAP'!$K$3:$K$501,"=639")</f>
        <v>0</v>
      </c>
      <c r="N17" s="189">
        <f>SUMIFS('Plan prihoda za unos u SAP'!$G$3:$G$501,'Plan prihoda za unos u SAP'!$C$3:$C$501,"=561",'Plan prihoda za unos u SAP'!$K$3:$K$501,"=639")</f>
        <v>0</v>
      </c>
      <c r="O17" s="189">
        <f>SUMIFS('Plan prihoda za unos u SAP'!$G$3:$G$501,'Plan prihoda za unos u SAP'!$C$3:$C$501,"=563",'Plan prihoda za unos u SAP'!$K$3:$K$501,"=639")</f>
        <v>0</v>
      </c>
      <c r="P17" s="189">
        <f>SUMIFS('Plan prihoda za unos u SAP'!$G$3:$G$501,'Plan prihoda za unos u SAP'!$C$3:$C$501,"=573",'Plan prihoda za unos u SAP'!$K$3:$K$501,"=639")</f>
        <v>0</v>
      </c>
      <c r="Q17" s="189">
        <f>SUMIFS('Plan prihoda za unos u SAP'!$G$3:$G$501,'Plan prihoda za unos u SAP'!$C$3:$C$501,"=575",'Plan prihoda za unos u SAP'!$K$3:$K$501,"=639")</f>
        <v>0</v>
      </c>
      <c r="R17" s="189">
        <f>SUMIFS('Plan prihoda za unos u SAP'!$G$3:$G$501,'Plan prihoda za unos u SAP'!$C$3:$C$501,"=576",'Plan prihoda za unos u SAP'!$K$3:$K$501,"=639")</f>
        <v>0</v>
      </c>
      <c r="S17" s="189">
        <f>SUMIFS('Plan prihoda za unos u SAP'!$G$3:$G$501,'Plan prihoda za unos u SAP'!$C$3:$C$501,"=61",'Plan prihoda za unos u SAP'!$K$3:$K$501,"=639")</f>
        <v>0</v>
      </c>
      <c r="T17" s="189">
        <f>SUMIFS('Plan prihoda za unos u SAP'!$G$3:$G$501,'Plan prihoda za unos u SAP'!$C$3:$C$501,"=63",'Plan prihoda za unos u SAP'!$K$3:$K$501,"=639")</f>
        <v>0</v>
      </c>
      <c r="U17" s="189">
        <f>SUMIFS('Plan prihoda za unos u SAP'!$G$3:$G$501,'Plan prihoda za unos u SAP'!$C$3:$C$501,"=71",'Plan prihoda za unos u SAP'!$K$3:$K$501,"=639")</f>
        <v>0</v>
      </c>
      <c r="V17" s="189">
        <f>SUMIFS('Plan prihoda za unos u SAP'!$G$3:$G$501,'Plan prihoda za unos u SAP'!$C$3:$C$501,"=81",'Plan prihoda za unos u SAP'!$K$3:$K$501,"=639")</f>
        <v>0</v>
      </c>
      <c r="W17" s="189">
        <f>SUMIFS('Plan prihoda za unos u SAP'!$G$3:$G$501,'Plan prihoda za unos u SAP'!$C$3:$C$501,"=83",'Plan prihoda za unos u SAP'!$K$3:$K$501,"=639")</f>
        <v>0</v>
      </c>
    </row>
    <row r="18" spans="1:23" s="90" customFormat="1">
      <c r="A18" s="90">
        <v>2021</v>
      </c>
      <c r="B18" s="95" t="s">
        <v>290</v>
      </c>
      <c r="C18" s="96" t="s">
        <v>291</v>
      </c>
      <c r="D18" s="70">
        <f t="shared" si="1"/>
        <v>15000</v>
      </c>
      <c r="E18" s="189">
        <f>SUMIFS('Plan prihoda za unos u SAP'!$G$3:$G$501,'Plan prihoda za unos u SAP'!$C$3:$C$501,"=11",'Plan prihoda za unos u SAP'!$K$3:$K$501,"=641")</f>
        <v>0</v>
      </c>
      <c r="F18" s="189">
        <f>SUMIFS('Plan prihoda za unos u SAP'!$G$3:$G$501,'Plan prihoda za unos u SAP'!$C$3:$C$501,"=12",'Plan prihoda za unos u SAP'!$K$3:$K$501,"=641")</f>
        <v>0</v>
      </c>
      <c r="G18" s="189">
        <f>SUMIFS('Plan prihoda za unos u SAP'!$G$3:$G$501,'Plan prihoda za unos u SAP'!$C$3:$C$501,"=31",'Plan prihoda za unos u SAP'!$K$3:$K$501,"=641")</f>
        <v>15000</v>
      </c>
      <c r="H18" s="189">
        <f>SUMIFS('Plan prihoda za unos u SAP'!$G$3:$G$501,'Plan prihoda za unos u SAP'!$C$3:$C$501,"=41",'Plan prihoda za unos u SAP'!$K$3:$K$501,"=641")</f>
        <v>0</v>
      </c>
      <c r="I18" s="189">
        <f>SUMIFS('Plan prihoda za unos u SAP'!$G$3:$G$501,'Plan prihoda za unos u SAP'!$C$3:$C$501,"=43",'Plan prihoda za unos u SAP'!$K$3:$K$501,"=641")</f>
        <v>0</v>
      </c>
      <c r="J18" s="189">
        <f>SUMIFS('Plan prihoda za unos u SAP'!$G$3:$G$501,'Plan prihoda za unos u SAP'!$C$3:$C$501,"=51",'Plan prihoda za unos u SAP'!$K$3:$K$501,"=641")</f>
        <v>0</v>
      </c>
      <c r="K18" s="189">
        <f>SUMIFS('Plan prihoda za unos u SAP'!$G$3:$G$501,'Plan prihoda za unos u SAP'!$C$3:$C$501,"=52",'Plan prihoda za unos u SAP'!$K$3:$K$501,"=641")</f>
        <v>0</v>
      </c>
      <c r="L18" s="189">
        <f>SUMIFS('Plan prihoda za unos u SAP'!$G$3:$G$501,'Plan prihoda za unos u SAP'!$C$3:$C$501,"=552",'Plan prihoda za unos u SAP'!$K$3:$K$501,"=641")</f>
        <v>0</v>
      </c>
      <c r="M18" s="189">
        <f>SUMIFS('Plan prihoda za unos u SAP'!$G$3:$G$501,'Plan prihoda za unos u SAP'!$C$3:$C$501,"=559",'Plan prihoda za unos u SAP'!$K$3:$K$501,"=641")</f>
        <v>0</v>
      </c>
      <c r="N18" s="189">
        <f>SUMIFS('Plan prihoda za unos u SAP'!$G$3:$G$501,'Plan prihoda za unos u SAP'!$C$3:$C$501,"=561",'Plan prihoda za unos u SAP'!$K$3:$K$501,"=641")</f>
        <v>0</v>
      </c>
      <c r="O18" s="189">
        <f>SUMIFS('Plan prihoda za unos u SAP'!$G$3:$G$501,'Plan prihoda za unos u SAP'!$C$3:$C$501,"=563",'Plan prihoda za unos u SAP'!$K$3:$K$501,"=641")</f>
        <v>0</v>
      </c>
      <c r="P18" s="189">
        <f>SUMIFS('Plan prihoda za unos u SAP'!$G$3:$G$501,'Plan prihoda za unos u SAP'!$C$3:$C$501,"=573",'Plan prihoda za unos u SAP'!$K$3:$K$501,"=641")</f>
        <v>0</v>
      </c>
      <c r="Q18" s="189">
        <f>SUMIFS('Plan prihoda za unos u SAP'!$G$3:$G$501,'Plan prihoda za unos u SAP'!$C$3:$C$501,"=575",'Plan prihoda za unos u SAP'!$K$3:$K$501,"=641")</f>
        <v>0</v>
      </c>
      <c r="R18" s="189">
        <f>SUMIFS('Plan prihoda za unos u SAP'!$G$3:$G$501,'Plan prihoda za unos u SAP'!$C$3:$C$501,"=576",'Plan prihoda za unos u SAP'!$K$3:$K$501,"=641")</f>
        <v>0</v>
      </c>
      <c r="S18" s="189">
        <f>SUMIFS('Plan prihoda za unos u SAP'!$G$3:$G$501,'Plan prihoda za unos u SAP'!$C$3:$C$501,"=61",'Plan prihoda za unos u SAP'!$K$3:$K$501,"=641")</f>
        <v>0</v>
      </c>
      <c r="T18" s="189">
        <f>SUMIFS('Plan prihoda za unos u SAP'!$G$3:$G$501,'Plan prihoda za unos u SAP'!$C$3:$C$501,"=63",'Plan prihoda za unos u SAP'!$K$3:$K$501,"=641")</f>
        <v>0</v>
      </c>
      <c r="U18" s="189">
        <f>SUMIFS('Plan prihoda za unos u SAP'!$G$3:$G$501,'Plan prihoda za unos u SAP'!$C$3:$C$501,"=71",'Plan prihoda za unos u SAP'!$K$3:$K$501,"=641")</f>
        <v>0</v>
      </c>
      <c r="V18" s="189">
        <f>SUMIFS('Plan prihoda za unos u SAP'!$G$3:$G$501,'Plan prihoda za unos u SAP'!$C$3:$C$501,"=81",'Plan prihoda za unos u SAP'!$K$3:$K$501,"=641")</f>
        <v>0</v>
      </c>
      <c r="W18" s="189">
        <f>SUMIFS('Plan prihoda za unos u SAP'!$G$3:$G$501,'Plan prihoda za unos u SAP'!$C$3:$C$501,"=83",'Plan prihoda za unos u SAP'!$K$3:$K$501,"=641")</f>
        <v>0</v>
      </c>
    </row>
    <row r="19" spans="1:23" s="90" customFormat="1">
      <c r="A19" s="90">
        <v>2021</v>
      </c>
      <c r="B19" s="95" t="s">
        <v>292</v>
      </c>
      <c r="C19" s="96" t="s">
        <v>293</v>
      </c>
      <c r="D19" s="70">
        <f t="shared" si="1"/>
        <v>0</v>
      </c>
      <c r="E19" s="189">
        <f>SUMIFS('Plan prihoda za unos u SAP'!$G$3:$G$501,'Plan prihoda za unos u SAP'!$C$3:$C$501,"=11",'Plan prihoda za unos u SAP'!$K$3:$K$501,"=642")</f>
        <v>0</v>
      </c>
      <c r="F19" s="189">
        <f>SUMIFS('Plan prihoda za unos u SAP'!$G$3:$G$501,'Plan prihoda za unos u SAP'!$C$3:$C$501,"=12",'Plan prihoda za unos u SAP'!$K$3:$K$501,"=642")</f>
        <v>0</v>
      </c>
      <c r="G19" s="189">
        <f>SUMIFS('Plan prihoda za unos u SAP'!$G$3:$G$501,'Plan prihoda za unos u SAP'!$C$3:$C$501,"=31",'Plan prihoda za unos u SAP'!$K$3:$K$501,"=642")</f>
        <v>0</v>
      </c>
      <c r="H19" s="189">
        <f>SUMIFS('Plan prihoda za unos u SAP'!$G$3:$G$501,'Plan prihoda za unos u SAP'!$C$3:$C$501,"=41",'Plan prihoda za unos u SAP'!$K$3:$K$501,"=642")</f>
        <v>0</v>
      </c>
      <c r="I19" s="189">
        <f>SUMIFS('Plan prihoda za unos u SAP'!$G$3:$G$501,'Plan prihoda za unos u SAP'!$C$3:$C$501,"=43",'Plan prihoda za unos u SAP'!$K$3:$K$501,"=642")</f>
        <v>0</v>
      </c>
      <c r="J19" s="189">
        <f>SUMIFS('Plan prihoda za unos u SAP'!$G$3:$G$501,'Plan prihoda za unos u SAP'!$C$3:$C$501,"=51",'Plan prihoda za unos u SAP'!$K$3:$K$501,"=642")</f>
        <v>0</v>
      </c>
      <c r="K19" s="189">
        <f>SUMIFS('Plan prihoda za unos u SAP'!$G$3:$G$501,'Plan prihoda za unos u SAP'!$C$3:$C$501,"=52",'Plan prihoda za unos u SAP'!$K$3:$K$501,"=642")</f>
        <v>0</v>
      </c>
      <c r="L19" s="189">
        <f>SUMIFS('Plan prihoda za unos u SAP'!$G$3:$G$501,'Plan prihoda za unos u SAP'!$C$3:$C$501,"=552",'Plan prihoda za unos u SAP'!$K$3:$K$501,"=642")</f>
        <v>0</v>
      </c>
      <c r="M19" s="189">
        <f>SUMIFS('Plan prihoda za unos u SAP'!$G$3:$G$501,'Plan prihoda za unos u SAP'!$C$3:$C$501,"=559",'Plan prihoda za unos u SAP'!$K$3:$K$501,"=642")</f>
        <v>0</v>
      </c>
      <c r="N19" s="189">
        <f>SUMIFS('Plan prihoda za unos u SAP'!$G$3:$G$501,'Plan prihoda za unos u SAP'!$C$3:$C$501,"=561",'Plan prihoda za unos u SAP'!$K$3:$K$501,"=642")</f>
        <v>0</v>
      </c>
      <c r="O19" s="189">
        <f>SUMIFS('Plan prihoda za unos u SAP'!$G$3:$G$501,'Plan prihoda za unos u SAP'!$C$3:$C$501,"=563",'Plan prihoda za unos u SAP'!$K$3:$K$501,"=642")</f>
        <v>0</v>
      </c>
      <c r="P19" s="189">
        <f>SUMIFS('Plan prihoda za unos u SAP'!$G$3:$G$501,'Plan prihoda za unos u SAP'!$C$3:$C$501,"=573",'Plan prihoda za unos u SAP'!$K$3:$K$501,"=642")</f>
        <v>0</v>
      </c>
      <c r="Q19" s="189">
        <f>SUMIFS('Plan prihoda za unos u SAP'!$G$3:$G$501,'Plan prihoda za unos u SAP'!$C$3:$C$501,"=575",'Plan prihoda za unos u SAP'!$K$3:$K$501,"=642")</f>
        <v>0</v>
      </c>
      <c r="R19" s="189">
        <f>SUMIFS('Plan prihoda za unos u SAP'!$G$3:$G$501,'Plan prihoda za unos u SAP'!$C$3:$C$501,"=576",'Plan prihoda za unos u SAP'!$K$3:$K$501,"=642")</f>
        <v>0</v>
      </c>
      <c r="S19" s="189">
        <f>SUMIFS('Plan prihoda za unos u SAP'!$G$3:$G$501,'Plan prihoda za unos u SAP'!$C$3:$C$501,"=61",'Plan prihoda za unos u SAP'!$K$3:$K$501,"=642")</f>
        <v>0</v>
      </c>
      <c r="T19" s="189">
        <f>SUMIFS('Plan prihoda za unos u SAP'!$G$3:$G$501,'Plan prihoda za unos u SAP'!$C$3:$C$501,"=63",'Plan prihoda za unos u SAP'!$K$3:$K$501,"=642")</f>
        <v>0</v>
      </c>
      <c r="U19" s="189">
        <f>SUMIFS('Plan prihoda za unos u SAP'!$G$3:$G$501,'Plan prihoda za unos u SAP'!$C$3:$C$501,"=71",'Plan prihoda za unos u SAP'!$K$3:$K$501,"=642")</f>
        <v>0</v>
      </c>
      <c r="V19" s="189">
        <f>SUMIFS('Plan prihoda za unos u SAP'!$G$3:$G$501,'Plan prihoda za unos u SAP'!$C$3:$C$501,"=81",'Plan prihoda za unos u SAP'!$K$3:$K$501,"=642")</f>
        <v>0</v>
      </c>
      <c r="W19" s="189">
        <f>SUMIFS('Plan prihoda za unos u SAP'!$G$3:$G$501,'Plan prihoda za unos u SAP'!$C$3:$C$501,"=83",'Plan prihoda za unos u SAP'!$K$3:$K$501,"=642")</f>
        <v>0</v>
      </c>
    </row>
    <row r="20" spans="1:23" s="90" customFormat="1">
      <c r="A20" s="90">
        <v>2021</v>
      </c>
      <c r="B20" s="215" t="s">
        <v>765</v>
      </c>
      <c r="C20" s="96" t="s">
        <v>764</v>
      </c>
      <c r="D20" s="70">
        <f t="shared" si="1"/>
        <v>0</v>
      </c>
      <c r="E20" s="189">
        <f>SUMIFS('Plan prihoda za unos u SAP'!$G$3:$G$501,'Plan prihoda za unos u SAP'!$C$3:$C$501,"=11",'Plan prihoda za unos u SAP'!$K$3:$K$501,"=651")</f>
        <v>0</v>
      </c>
      <c r="F20" s="189">
        <f>SUMIFS('Plan prihoda za unos u SAP'!$G$3:$G$501,'Plan prihoda za unos u SAP'!$C$3:$C$501,"=12",'Plan prihoda za unos u SAP'!$K$3:$K$501,"=651")</f>
        <v>0</v>
      </c>
      <c r="G20" s="189">
        <f>SUMIFS('Plan prihoda za unos u SAP'!$G$3:$G$501,'Plan prihoda za unos u SAP'!$C$3:$C$501,"=31",'Plan prihoda za unos u SAP'!$K$3:$K$501,"=651")</f>
        <v>0</v>
      </c>
      <c r="H20" s="189">
        <f>SUMIFS('Plan prihoda za unos u SAP'!$G$3:$G$501,'Plan prihoda za unos u SAP'!$C$3:$C$501,"=41",'Plan prihoda za unos u SAP'!$K$3:$K$501,"=651")</f>
        <v>0</v>
      </c>
      <c r="I20" s="189">
        <f>SUMIFS('Plan prihoda za unos u SAP'!$G$3:$G$501,'Plan prihoda za unos u SAP'!$C$3:$C$501,"=43",'Plan prihoda za unos u SAP'!$K$3:$K$501,"=651")</f>
        <v>0</v>
      </c>
      <c r="J20" s="189">
        <f>SUMIFS('Plan prihoda za unos u SAP'!$G$3:$G$501,'Plan prihoda za unos u SAP'!$C$3:$C$501,"=51",'Plan prihoda za unos u SAP'!$K$3:$K$501,"=651")</f>
        <v>0</v>
      </c>
      <c r="K20" s="189">
        <f>SUMIFS('Plan prihoda za unos u SAP'!$G$3:$G$501,'Plan prihoda za unos u SAP'!$C$3:$C$501,"=52",'Plan prihoda za unos u SAP'!$K$3:$K$501,"=651")</f>
        <v>0</v>
      </c>
      <c r="L20" s="189">
        <f>SUMIFS('Plan prihoda za unos u SAP'!$G$3:$G$501,'Plan prihoda za unos u SAP'!$C$3:$C$501,"=552",'Plan prihoda za unos u SAP'!$K$3:$K$501,"=651")</f>
        <v>0</v>
      </c>
      <c r="M20" s="189">
        <f>SUMIFS('Plan prihoda za unos u SAP'!$G$3:$G$501,'Plan prihoda za unos u SAP'!$C$3:$C$501,"=559",'Plan prihoda za unos u SAP'!$K$3:$K$501,"=651")</f>
        <v>0</v>
      </c>
      <c r="N20" s="189">
        <f>SUMIFS('Plan prihoda za unos u SAP'!$G$3:$G$501,'Plan prihoda za unos u SAP'!$C$3:$C$501,"=561",'Plan prihoda za unos u SAP'!$K$3:$K$501,"=651")</f>
        <v>0</v>
      </c>
      <c r="O20" s="189">
        <f>SUMIFS('Plan prihoda za unos u SAP'!$G$3:$G$501,'Plan prihoda za unos u SAP'!$C$3:$C$501,"=563",'Plan prihoda za unos u SAP'!$K$3:$K$501,"=651")</f>
        <v>0</v>
      </c>
      <c r="P20" s="189">
        <f>SUMIFS('Plan prihoda za unos u SAP'!$G$3:$G$501,'Plan prihoda za unos u SAP'!$C$3:$C$501,"=573",'Plan prihoda za unos u SAP'!$K$3:$K$501,"=651")</f>
        <v>0</v>
      </c>
      <c r="Q20" s="189">
        <f>SUMIFS('Plan prihoda za unos u SAP'!$G$3:$G$501,'Plan prihoda za unos u SAP'!$C$3:$C$501,"=575",'Plan prihoda za unos u SAP'!$K$3:$K$501,"=651")</f>
        <v>0</v>
      </c>
      <c r="R20" s="189">
        <f>SUMIFS('Plan prihoda za unos u SAP'!$G$3:$G$501,'Plan prihoda za unos u SAP'!$C$3:$C$501,"=576",'Plan prihoda za unos u SAP'!$K$3:$K$501,"=651")</f>
        <v>0</v>
      </c>
      <c r="S20" s="189">
        <f>SUMIFS('Plan prihoda za unos u SAP'!$G$3:$G$501,'Plan prihoda za unos u SAP'!$C$3:$C$501,"=61",'Plan prihoda za unos u SAP'!$K$3:$K$501,"=651")</f>
        <v>0</v>
      </c>
      <c r="T20" s="189">
        <f>SUMIFS('Plan prihoda za unos u SAP'!$G$3:$G$501,'Plan prihoda za unos u SAP'!$C$3:$C$501,"=63",'Plan prihoda za unos u SAP'!$K$3:$K$501,"=651")</f>
        <v>0</v>
      </c>
      <c r="U20" s="189">
        <f>SUMIFS('Plan prihoda za unos u SAP'!$G$3:$G$501,'Plan prihoda za unos u SAP'!$C$3:$C$501,"=71",'Plan prihoda za unos u SAP'!$K$3:$K$501,"=651")</f>
        <v>0</v>
      </c>
      <c r="V20" s="189">
        <f>SUMIFS('Plan prihoda za unos u SAP'!$G$3:$G$501,'Plan prihoda za unos u SAP'!$C$3:$C$501,"=81",'Plan prihoda za unos u SAP'!$K$3:$K$501,"=651")</f>
        <v>0</v>
      </c>
      <c r="W20" s="189">
        <f>SUMIFS('Plan prihoda za unos u SAP'!$G$3:$G$501,'Plan prihoda za unos u SAP'!$C$3:$C$501,"=83",'Plan prihoda za unos u SAP'!$K$3:$K$501,"=651")</f>
        <v>0</v>
      </c>
    </row>
    <row r="21" spans="1:23" s="90" customFormat="1">
      <c r="A21" s="90">
        <v>2021</v>
      </c>
      <c r="B21" s="95" t="s">
        <v>294</v>
      </c>
      <c r="C21" s="96" t="s">
        <v>295</v>
      </c>
      <c r="D21" s="70">
        <f t="shared" si="1"/>
        <v>3943010</v>
      </c>
      <c r="E21" s="189">
        <f>SUMIFS('Plan prihoda za unos u SAP'!$G$3:$G$501,'Plan prihoda za unos u SAP'!$C$3:$C$501,"=11",'Plan prihoda za unos u SAP'!$K$3:$K$501,"=652")</f>
        <v>0</v>
      </c>
      <c r="F21" s="189">
        <f>SUMIFS('Plan prihoda za unos u SAP'!$G$3:$G$501,'Plan prihoda za unos u SAP'!$C$3:$C$501,"=12",'Plan prihoda za unos u SAP'!$K$3:$K$501,"=652")</f>
        <v>0</v>
      </c>
      <c r="G21" s="189">
        <f>SUMIFS('Plan prihoda za unos u SAP'!$G$3:$G$501,'Plan prihoda za unos u SAP'!$C$3:$C$501,"=31",'Plan prihoda za unos u SAP'!$K$3:$K$501,"=652")</f>
        <v>0</v>
      </c>
      <c r="H21" s="189">
        <f>SUMIFS('Plan prihoda za unos u SAP'!$G$3:$G$501,'Plan prihoda za unos u SAP'!$C$3:$C$501,"=41",'Plan prihoda za unos u SAP'!$K$3:$K$501,"=652")</f>
        <v>0</v>
      </c>
      <c r="I21" s="189">
        <f>SUMIFS('Plan prihoda za unos u SAP'!$G$3:$G$501,'Plan prihoda za unos u SAP'!$C$3:$C$501,"=43",'Plan prihoda za unos u SAP'!$K$3:$K$501,"=652")</f>
        <v>3943010</v>
      </c>
      <c r="J21" s="189">
        <f>SUMIFS('Plan prihoda za unos u SAP'!$G$3:$G$501,'Plan prihoda za unos u SAP'!$C$3:$C$501,"=51",'Plan prihoda za unos u SAP'!$K$3:$K$501,"=652")</f>
        <v>0</v>
      </c>
      <c r="K21" s="189">
        <f>SUMIFS('Plan prihoda za unos u SAP'!$G$3:$G$501,'Plan prihoda za unos u SAP'!$C$3:$C$501,"=52",'Plan prihoda za unos u SAP'!$K$3:$K$501,"=652")</f>
        <v>0</v>
      </c>
      <c r="L21" s="189">
        <f>SUMIFS('Plan prihoda za unos u SAP'!$G$3:$G$501,'Plan prihoda za unos u SAP'!$C$3:$C$501,"=552",'Plan prihoda za unos u SAP'!$K$3:$K$501,"=652")</f>
        <v>0</v>
      </c>
      <c r="M21" s="189">
        <f>SUMIFS('Plan prihoda za unos u SAP'!$G$3:$G$501,'Plan prihoda za unos u SAP'!$C$3:$C$501,"=559",'Plan prihoda za unos u SAP'!$K$3:$K$501,"=652")</f>
        <v>0</v>
      </c>
      <c r="N21" s="189">
        <f>SUMIFS('Plan prihoda za unos u SAP'!$G$3:$G$501,'Plan prihoda za unos u SAP'!$C$3:$C$501,"=561",'Plan prihoda za unos u SAP'!$K$3:$K$501,"=652")</f>
        <v>0</v>
      </c>
      <c r="O21" s="189">
        <f>SUMIFS('Plan prihoda za unos u SAP'!$G$3:$G$501,'Plan prihoda za unos u SAP'!$C$3:$C$501,"=563",'Plan prihoda za unos u SAP'!$K$3:$K$501,"=652")</f>
        <v>0</v>
      </c>
      <c r="P21" s="189">
        <f>SUMIFS('Plan prihoda za unos u SAP'!$G$3:$G$501,'Plan prihoda za unos u SAP'!$C$3:$C$501,"=573",'Plan prihoda za unos u SAP'!$K$3:$K$501,"=652")</f>
        <v>0</v>
      </c>
      <c r="Q21" s="189">
        <f>SUMIFS('Plan prihoda za unos u SAP'!$G$3:$G$501,'Plan prihoda za unos u SAP'!$C$3:$C$501,"=575",'Plan prihoda za unos u SAP'!$K$3:$K$501,"=652")</f>
        <v>0</v>
      </c>
      <c r="R21" s="189">
        <f>SUMIFS('Plan prihoda za unos u SAP'!$G$3:$G$501,'Plan prihoda za unos u SAP'!$C$3:$C$501,"=576",'Plan prihoda za unos u SAP'!$K$3:$K$501,"=652")</f>
        <v>0</v>
      </c>
      <c r="S21" s="189">
        <f>SUMIFS('Plan prihoda za unos u SAP'!$G$3:$G$501,'Plan prihoda za unos u SAP'!$C$3:$C$501,"=61",'Plan prihoda za unos u SAP'!$K$3:$K$501,"=652")</f>
        <v>0</v>
      </c>
      <c r="T21" s="189">
        <f>SUMIFS('Plan prihoda za unos u SAP'!$G$3:$G$501,'Plan prihoda za unos u SAP'!$C$3:$C$501,"=63",'Plan prihoda za unos u SAP'!$K$3:$K$501,"=652")</f>
        <v>0</v>
      </c>
      <c r="U21" s="189">
        <f>SUMIFS('Plan prihoda za unos u SAP'!$G$3:$G$501,'Plan prihoda za unos u SAP'!$C$3:$C$501,"=71",'Plan prihoda za unos u SAP'!$K$3:$K$501,"=652")</f>
        <v>0</v>
      </c>
      <c r="V21" s="189">
        <f>SUMIFS('Plan prihoda za unos u SAP'!$G$3:$G$501,'Plan prihoda za unos u SAP'!$C$3:$C$501,"=81",'Plan prihoda za unos u SAP'!$K$3:$K$501,"=652")</f>
        <v>0</v>
      </c>
      <c r="W21" s="189">
        <f>SUMIFS('Plan prihoda za unos u SAP'!$G$3:$G$501,'Plan prihoda za unos u SAP'!$C$3:$C$501,"=83",'Plan prihoda za unos u SAP'!$K$3:$K$501,"=652")</f>
        <v>0</v>
      </c>
    </row>
    <row r="22" spans="1:23" s="90" customFormat="1">
      <c r="A22" s="90">
        <v>2021</v>
      </c>
      <c r="B22" s="95" t="s">
        <v>296</v>
      </c>
      <c r="C22" s="96" t="s">
        <v>297</v>
      </c>
      <c r="D22" s="70">
        <f t="shared" si="1"/>
        <v>9300000</v>
      </c>
      <c r="E22" s="189">
        <f>SUMIFS('Plan prihoda za unos u SAP'!$G$3:$G$501,'Plan prihoda za unos u SAP'!$C$3:$C$501,"=11",'Plan prihoda za unos u SAP'!$K$3:$K$501,"=661")</f>
        <v>0</v>
      </c>
      <c r="F22" s="189">
        <f>SUMIFS('Plan prihoda za unos u SAP'!$G$3:$G$501,'Plan prihoda za unos u SAP'!$C$3:$C$501,"=12",'Plan prihoda za unos u SAP'!$K$3:$K$501,"=661")</f>
        <v>0</v>
      </c>
      <c r="G22" s="189">
        <f>SUMIFS('Plan prihoda za unos u SAP'!$G$3:$G$501,'Plan prihoda za unos u SAP'!$C$3:$C$501,"=31",'Plan prihoda za unos u SAP'!$K$3:$K$501,"=661")</f>
        <v>9300000</v>
      </c>
      <c r="H22" s="189">
        <f>SUMIFS('Plan prihoda za unos u SAP'!$G$3:$G$501,'Plan prihoda za unos u SAP'!$C$3:$C$501,"=41",'Plan prihoda za unos u SAP'!$K$3:$K$501,"=661")</f>
        <v>0</v>
      </c>
      <c r="I22" s="189">
        <f>SUMIFS('Plan prihoda za unos u SAP'!$G$3:$G$501,'Plan prihoda za unos u SAP'!$C$3:$C$501,"=43",'Plan prihoda za unos u SAP'!$K$3:$K$501,"=661")</f>
        <v>0</v>
      </c>
      <c r="J22" s="189">
        <f>SUMIFS('Plan prihoda za unos u SAP'!$G$3:$G$501,'Plan prihoda za unos u SAP'!$C$3:$C$501,"=51",'Plan prihoda za unos u SAP'!$K$3:$K$501,"=661")</f>
        <v>0</v>
      </c>
      <c r="K22" s="189">
        <f>SUMIFS('Plan prihoda za unos u SAP'!$G$3:$G$501,'Plan prihoda za unos u SAP'!$C$3:$C$501,"=52",'Plan prihoda za unos u SAP'!$K$3:$K$501,"=661")</f>
        <v>0</v>
      </c>
      <c r="L22" s="189">
        <f>SUMIFS('Plan prihoda za unos u SAP'!$G$3:$G$501,'Plan prihoda za unos u SAP'!$C$3:$C$501,"=552",'Plan prihoda za unos u SAP'!$K$3:$K$501,"=661")</f>
        <v>0</v>
      </c>
      <c r="M22" s="189">
        <f>SUMIFS('Plan prihoda za unos u SAP'!$G$3:$G$501,'Plan prihoda za unos u SAP'!$C$3:$C$501,"=559",'Plan prihoda za unos u SAP'!$K$3:$K$501,"=661")</f>
        <v>0</v>
      </c>
      <c r="N22" s="189">
        <f>SUMIFS('Plan prihoda za unos u SAP'!$G$3:$G$501,'Plan prihoda za unos u SAP'!$C$3:$C$501,"=561",'Plan prihoda za unos u SAP'!$K$3:$K$501,"=661")</f>
        <v>0</v>
      </c>
      <c r="O22" s="189">
        <f>SUMIFS('Plan prihoda za unos u SAP'!$G$3:$G$501,'Plan prihoda za unos u SAP'!$C$3:$C$501,"=563",'Plan prihoda za unos u SAP'!$K$3:$K$501,"=661")</f>
        <v>0</v>
      </c>
      <c r="P22" s="189">
        <f>SUMIFS('Plan prihoda za unos u SAP'!$G$3:$G$501,'Plan prihoda za unos u SAP'!$C$3:$C$501,"=573",'Plan prihoda za unos u SAP'!$K$3:$K$501,"=661")</f>
        <v>0</v>
      </c>
      <c r="Q22" s="189">
        <f>SUMIFS('Plan prihoda za unos u SAP'!$G$3:$G$501,'Plan prihoda za unos u SAP'!$C$3:$C$501,"=575",'Plan prihoda za unos u SAP'!$K$3:$K$501,"=661")</f>
        <v>0</v>
      </c>
      <c r="R22" s="189">
        <f>SUMIFS('Plan prihoda za unos u SAP'!$G$3:$G$501,'Plan prihoda za unos u SAP'!$C$3:$C$501,"=576",'Plan prihoda za unos u SAP'!$K$3:$K$501,"=661")</f>
        <v>0</v>
      </c>
      <c r="S22" s="189">
        <f>SUMIFS('Plan prihoda za unos u SAP'!$G$3:$G$501,'Plan prihoda za unos u SAP'!$C$3:$C$501,"=61",'Plan prihoda za unos u SAP'!$K$3:$K$501,"=661")</f>
        <v>0</v>
      </c>
      <c r="T22" s="189">
        <f>SUMIFS('Plan prihoda za unos u SAP'!$G$3:$G$501,'Plan prihoda za unos u SAP'!$C$3:$C$501,"=63",'Plan prihoda za unos u SAP'!$K$3:$K$501,"=661")</f>
        <v>0</v>
      </c>
      <c r="U22" s="189">
        <f>SUMIFS('Plan prihoda za unos u SAP'!$G$3:$G$501,'Plan prihoda za unos u SAP'!$C$3:$C$501,"=71",'Plan prihoda za unos u SAP'!$K$3:$K$501,"=661")</f>
        <v>0</v>
      </c>
      <c r="V22" s="189">
        <f>SUMIFS('Plan prihoda za unos u SAP'!$G$3:$G$501,'Plan prihoda za unos u SAP'!$C$3:$C$501,"=81",'Plan prihoda za unos u SAP'!$K$3:$K$501,"=661")</f>
        <v>0</v>
      </c>
      <c r="W22" s="189">
        <f>SUMIFS('Plan prihoda za unos u SAP'!$G$3:$G$501,'Plan prihoda za unos u SAP'!$C$3:$C$501,"=83",'Plan prihoda za unos u SAP'!$K$3:$K$501,"=661")</f>
        <v>0</v>
      </c>
    </row>
    <row r="23" spans="1:23" s="90" customFormat="1">
      <c r="A23" s="90">
        <v>2021</v>
      </c>
      <c r="B23" s="95" t="s">
        <v>298</v>
      </c>
      <c r="C23" s="96" t="s">
        <v>299</v>
      </c>
      <c r="D23" s="70">
        <f t="shared" si="1"/>
        <v>230000</v>
      </c>
      <c r="E23" s="189">
        <f>SUMIFS('Plan prihoda za unos u SAP'!$G$3:$G$501,'Plan prihoda za unos u SAP'!$C$3:$C$501,"=11",'Plan prihoda za unos u SAP'!$K$3:$K$501,"=663")</f>
        <v>0</v>
      </c>
      <c r="F23" s="189">
        <f>SUMIFS('Plan prihoda za unos u SAP'!$G$3:$G$501,'Plan prihoda za unos u SAP'!$C$3:$C$501,"=12",'Plan prihoda za unos u SAP'!$K$3:$K$501,"=663")</f>
        <v>0</v>
      </c>
      <c r="G23" s="189">
        <f>SUMIFS('Plan prihoda za unos u SAP'!$G$3:$G$501,'Plan prihoda za unos u SAP'!$C$3:$C$501,"=31",'Plan prihoda za unos u SAP'!$K$3:$K$501,"=663")</f>
        <v>0</v>
      </c>
      <c r="H23" s="189">
        <f>SUMIFS('Plan prihoda za unos u SAP'!$G$3:$G$501,'Plan prihoda za unos u SAP'!$C$3:$C$501,"=41",'Plan prihoda za unos u SAP'!$K$3:$K$501,"=663")</f>
        <v>0</v>
      </c>
      <c r="I23" s="189">
        <f>SUMIFS('Plan prihoda za unos u SAP'!$G$3:$G$501,'Plan prihoda za unos u SAP'!$C$3:$C$501,"=43",'Plan prihoda za unos u SAP'!$K$3:$K$501,"=663")</f>
        <v>0</v>
      </c>
      <c r="J23" s="189">
        <f>SUMIFS('Plan prihoda za unos u SAP'!$G$3:$G$501,'Plan prihoda za unos u SAP'!$C$3:$C$501,"=51",'Plan prihoda za unos u SAP'!$K$3:$K$501,"=663")</f>
        <v>0</v>
      </c>
      <c r="K23" s="189">
        <f>SUMIFS('Plan prihoda za unos u SAP'!$G$3:$G$501,'Plan prihoda za unos u SAP'!$C$3:$C$501,"=52",'Plan prihoda za unos u SAP'!$K$3:$K$501,"=663")</f>
        <v>0</v>
      </c>
      <c r="L23" s="189">
        <f>SUMIFS('Plan prihoda za unos u SAP'!$G$3:$G$501,'Plan prihoda za unos u SAP'!$C$3:$C$501,"=552",'Plan prihoda za unos u SAP'!$K$3:$K$501,"=663")</f>
        <v>0</v>
      </c>
      <c r="M23" s="189">
        <f>SUMIFS('Plan prihoda za unos u SAP'!$G$3:$G$501,'Plan prihoda za unos u SAP'!$C$3:$C$501,"=559",'Plan prihoda za unos u SAP'!$K$3:$K$501,"=663")</f>
        <v>0</v>
      </c>
      <c r="N23" s="189">
        <f>SUMIFS('Plan prihoda za unos u SAP'!$G$3:$G$501,'Plan prihoda za unos u SAP'!$C$3:$C$501,"=561",'Plan prihoda za unos u SAP'!$K$3:$K$501,"=663")</f>
        <v>0</v>
      </c>
      <c r="O23" s="189">
        <f>SUMIFS('Plan prihoda za unos u SAP'!$G$3:$G$501,'Plan prihoda za unos u SAP'!$C$3:$C$501,"=563",'Plan prihoda za unos u SAP'!$K$3:$K$501,"=663")</f>
        <v>0</v>
      </c>
      <c r="P23" s="189">
        <f>SUMIFS('Plan prihoda za unos u SAP'!$G$3:$G$501,'Plan prihoda za unos u SAP'!$C$3:$C$501,"=573",'Plan prihoda za unos u SAP'!$K$3:$K$501,"=663")</f>
        <v>0</v>
      </c>
      <c r="Q23" s="189">
        <f>SUMIFS('Plan prihoda za unos u SAP'!$G$3:$G$501,'Plan prihoda za unos u SAP'!$C$3:$C$501,"=575",'Plan prihoda za unos u SAP'!$K$3:$K$501,"=663")</f>
        <v>0</v>
      </c>
      <c r="R23" s="189">
        <f>SUMIFS('Plan prihoda za unos u SAP'!$G$3:$G$501,'Plan prihoda za unos u SAP'!$C$3:$C$501,"=576",'Plan prihoda za unos u SAP'!$K$3:$K$501,"=663")</f>
        <v>0</v>
      </c>
      <c r="S23" s="189">
        <f>SUMIFS('Plan prihoda za unos u SAP'!$G$3:$G$501,'Plan prihoda za unos u SAP'!$C$3:$C$501,"=61",'Plan prihoda za unos u SAP'!$K$3:$K$501,"=663")</f>
        <v>230000</v>
      </c>
      <c r="T23" s="189">
        <f>SUMIFS('Plan prihoda za unos u SAP'!$G$3:$G$501,'Plan prihoda za unos u SAP'!$C$3:$C$501,"=63",'Plan prihoda za unos u SAP'!$K$3:$K$501,"=663")</f>
        <v>0</v>
      </c>
      <c r="U23" s="189">
        <f>SUMIFS('Plan prihoda za unos u SAP'!$G$3:$G$501,'Plan prihoda za unos u SAP'!$C$3:$C$501,"=71",'Plan prihoda za unos u SAP'!$K$3:$K$501,"=663")</f>
        <v>0</v>
      </c>
      <c r="V23" s="189">
        <f>SUMIFS('Plan prihoda za unos u SAP'!$G$3:$G$501,'Plan prihoda za unos u SAP'!$C$3:$C$501,"=81",'Plan prihoda za unos u SAP'!$K$3:$K$501,"=663")</f>
        <v>0</v>
      </c>
      <c r="W23" s="189">
        <f>SUMIFS('Plan prihoda za unos u SAP'!$G$3:$G$501,'Plan prihoda za unos u SAP'!$C$3:$C$501,"=83",'Plan prihoda za unos u SAP'!$K$3:$K$501,"=663")</f>
        <v>0</v>
      </c>
    </row>
    <row r="24" spans="1:23" s="90" customFormat="1" ht="25.5">
      <c r="A24" s="90">
        <v>2021</v>
      </c>
      <c r="B24" s="95" t="s">
        <v>300</v>
      </c>
      <c r="C24" s="96" t="s">
        <v>260</v>
      </c>
      <c r="D24" s="70">
        <f t="shared" si="1"/>
        <v>153483452</v>
      </c>
      <c r="E24" s="189">
        <f>SUMIFS('Plan prihoda za unos u SAP'!$G$3:$G$501,'Plan prihoda za unos u SAP'!$C$3:$C$501,"=11",'Plan prihoda za unos u SAP'!$K$3:$K$501,"=671")</f>
        <v>153483452</v>
      </c>
      <c r="F24" s="189">
        <f>SUMIFS('Plan prihoda za unos u SAP'!$G$3:$G$501,'Plan prihoda za unos u SAP'!$C$3:$C$501,"=12",'Plan prihoda za unos u SAP'!$K$3:$K$501,"=671")</f>
        <v>0</v>
      </c>
      <c r="G24" s="189">
        <f>SUMIFS('Plan prihoda za unos u SAP'!$G$3:$G$501,'Plan prihoda za unos u SAP'!$C$3:$C$501,"=31",'Plan prihoda za unos u SAP'!$K$3:$K$501,"=671")</f>
        <v>0</v>
      </c>
      <c r="H24" s="189">
        <f>SUMIFS('Plan prihoda za unos u SAP'!$G$3:$G$501,'Plan prihoda za unos u SAP'!$C$3:$C$501,"=41",'Plan prihoda za unos u SAP'!$K$3:$K$501,"=671")</f>
        <v>0</v>
      </c>
      <c r="I24" s="189">
        <f>SUMIFS('Plan prihoda za unos u SAP'!$G$3:$G$501,'Plan prihoda za unos u SAP'!$C$3:$C$501,"=43",'Plan prihoda za unos u SAP'!$K$3:$K$501,"=671")</f>
        <v>0</v>
      </c>
      <c r="J24" s="189">
        <f>SUMIFS('Plan prihoda za unos u SAP'!$G$3:$G$501,'Plan prihoda za unos u SAP'!$C$3:$C$501,"=51",'Plan prihoda za unos u SAP'!$K$3:$K$501,"=671")</f>
        <v>0</v>
      </c>
      <c r="K24" s="189">
        <f>SUMIFS('Plan prihoda za unos u SAP'!$G$3:$G$501,'Plan prihoda za unos u SAP'!$C$3:$C$501,"=52",'Plan prihoda za unos u SAP'!$K$3:$K$501,"=671")</f>
        <v>0</v>
      </c>
      <c r="L24" s="189">
        <f>SUMIFS('Plan prihoda za unos u SAP'!$G$3:$G$501,'Plan prihoda za unos u SAP'!$C$3:$C$501,"=552",'Plan prihoda za unos u SAP'!$K$3:$K$501,"=671")</f>
        <v>0</v>
      </c>
      <c r="M24" s="189">
        <f>SUMIFS('Plan prihoda za unos u SAP'!$G$3:$G$501,'Plan prihoda za unos u SAP'!$C$3:$C$501,"=559",'Plan prihoda za unos u SAP'!$K$3:$K$501,"=671")</f>
        <v>0</v>
      </c>
      <c r="N24" s="189">
        <f>SUMIFS('Plan prihoda za unos u SAP'!$G$3:$G$501,'Plan prihoda za unos u SAP'!$C$3:$C$501,"=561",'Plan prihoda za unos u SAP'!$K$3:$K$501,"=671")</f>
        <v>0</v>
      </c>
      <c r="O24" s="189">
        <f>SUMIFS('Plan prihoda za unos u SAP'!$G$3:$G$501,'Plan prihoda za unos u SAP'!$C$3:$C$501,"=563",'Plan prihoda za unos u SAP'!$K$3:$K$501,"=671")</f>
        <v>0</v>
      </c>
      <c r="P24" s="189">
        <f>SUMIFS('Plan prihoda za unos u SAP'!$G$3:$G$501,'Plan prihoda za unos u SAP'!$C$3:$C$501,"=573",'Plan prihoda za unos u SAP'!$K$3:$K$501,"=671")</f>
        <v>0</v>
      </c>
      <c r="Q24" s="189">
        <f>SUMIFS('Plan prihoda za unos u SAP'!$G$3:$G$501,'Plan prihoda za unos u SAP'!$C$3:$C$501,"=575",'Plan prihoda za unos u SAP'!$K$3:$K$501,"=671")</f>
        <v>0</v>
      </c>
      <c r="R24" s="189">
        <f>SUMIFS('Plan prihoda za unos u SAP'!$G$3:$G$501,'Plan prihoda za unos u SAP'!$C$3:$C$501,"=576",'Plan prihoda za unos u SAP'!$K$3:$K$501,"=671")</f>
        <v>0</v>
      </c>
      <c r="S24" s="189">
        <f>SUMIFS('Plan prihoda za unos u SAP'!$G$3:$G$501,'Plan prihoda za unos u SAP'!$C$3:$C$501,"=61",'Plan prihoda za unos u SAP'!$K$3:$K$501,"=671")</f>
        <v>0</v>
      </c>
      <c r="T24" s="189">
        <f>SUMIFS('Plan prihoda za unos u SAP'!$G$3:$G$501,'Plan prihoda za unos u SAP'!$C$3:$C$501,"=63",'Plan prihoda za unos u SAP'!$K$3:$K$501,"=671")</f>
        <v>0</v>
      </c>
      <c r="U24" s="189">
        <f>SUMIFS('Plan prihoda za unos u SAP'!$G$3:$G$501,'Plan prihoda za unos u SAP'!$C$3:$C$501,"=71",'Plan prihoda za unos u SAP'!$K$3:$K$501,"=671")</f>
        <v>0</v>
      </c>
      <c r="V24" s="189">
        <f>SUMIFS('Plan prihoda za unos u SAP'!$G$3:$G$501,'Plan prihoda za unos u SAP'!$C$3:$C$501,"=81",'Plan prihoda za unos u SAP'!$K$3:$K$501,"=671")</f>
        <v>0</v>
      </c>
      <c r="W24" s="189">
        <f>SUMIFS('Plan prihoda za unos u SAP'!$G$3:$G$501,'Plan prihoda za unos u SAP'!$C$3:$C$501,"=83",'Plan prihoda za unos u SAP'!$K$3:$K$501,"=671")</f>
        <v>0</v>
      </c>
    </row>
    <row r="25" spans="1:23" s="90" customFormat="1">
      <c r="A25" s="90">
        <v>2021</v>
      </c>
      <c r="B25" s="95" t="s">
        <v>301</v>
      </c>
      <c r="C25" s="96" t="s">
        <v>302</v>
      </c>
      <c r="D25" s="70">
        <f t="shared" si="1"/>
        <v>0</v>
      </c>
      <c r="E25" s="189">
        <f>SUMIFS('Plan prihoda za unos u SAP'!$G$3:$G$501,'Plan prihoda za unos u SAP'!$C$3:$C$501,"=11",'Plan prihoda za unos u SAP'!$K$3:$K$501,"=681")</f>
        <v>0</v>
      </c>
      <c r="F25" s="189">
        <f>SUMIFS('Plan prihoda za unos u SAP'!$G$3:$G$501,'Plan prihoda za unos u SAP'!$C$3:$C$501,"=12",'Plan prihoda za unos u SAP'!$K$3:$K$501,"=681")</f>
        <v>0</v>
      </c>
      <c r="G25" s="189">
        <f>SUMIFS('Plan prihoda za unos u SAP'!$G$3:$G$501,'Plan prihoda za unos u SAP'!$C$3:$C$501,"=31",'Plan prihoda za unos u SAP'!$K$3:$K$501,"=681")</f>
        <v>0</v>
      </c>
      <c r="H25" s="189">
        <f>SUMIFS('Plan prihoda za unos u SAP'!$G$3:$G$501,'Plan prihoda za unos u SAP'!$C$3:$C$501,"=41",'Plan prihoda za unos u SAP'!$K$3:$K$501,"=681")</f>
        <v>0</v>
      </c>
      <c r="I25" s="189">
        <f>SUMIFS('Plan prihoda za unos u SAP'!$G$3:$G$501,'Plan prihoda za unos u SAP'!$C$3:$C$501,"=43",'Plan prihoda za unos u SAP'!$K$3:$K$501,"=681")</f>
        <v>0</v>
      </c>
      <c r="J25" s="189">
        <f>SUMIFS('Plan prihoda za unos u SAP'!$G$3:$G$501,'Plan prihoda za unos u SAP'!$C$3:$C$501,"=51",'Plan prihoda za unos u SAP'!$K$3:$K$501,"=681")</f>
        <v>0</v>
      </c>
      <c r="K25" s="189">
        <f>SUMIFS('Plan prihoda za unos u SAP'!$G$3:$G$501,'Plan prihoda za unos u SAP'!$C$3:$C$501,"=52",'Plan prihoda za unos u SAP'!$K$3:$K$501,"=681")</f>
        <v>0</v>
      </c>
      <c r="L25" s="189">
        <f>SUMIFS('Plan prihoda za unos u SAP'!$G$3:$G$501,'Plan prihoda za unos u SAP'!$C$3:$C$501,"=552",'Plan prihoda za unos u SAP'!$K$3:$K$501,"=681")</f>
        <v>0</v>
      </c>
      <c r="M25" s="189">
        <f>SUMIFS('Plan prihoda za unos u SAP'!$G$3:$G$501,'Plan prihoda za unos u SAP'!$C$3:$C$501,"=559",'Plan prihoda za unos u SAP'!$K$3:$K$501,"=681")</f>
        <v>0</v>
      </c>
      <c r="N25" s="189">
        <f>SUMIFS('Plan prihoda za unos u SAP'!$G$3:$G$501,'Plan prihoda za unos u SAP'!$C$3:$C$501,"=561",'Plan prihoda za unos u SAP'!$K$3:$K$501,"=681")</f>
        <v>0</v>
      </c>
      <c r="O25" s="189">
        <f>SUMIFS('Plan prihoda za unos u SAP'!$G$3:$G$501,'Plan prihoda za unos u SAP'!$C$3:$C$501,"=563",'Plan prihoda za unos u SAP'!$K$3:$K$501,"=681")</f>
        <v>0</v>
      </c>
      <c r="P25" s="189">
        <f>SUMIFS('Plan prihoda za unos u SAP'!$G$3:$G$501,'Plan prihoda za unos u SAP'!$C$3:$C$501,"=573",'Plan prihoda za unos u SAP'!$K$3:$K$501,"=681")</f>
        <v>0</v>
      </c>
      <c r="Q25" s="189">
        <f>SUMIFS('Plan prihoda za unos u SAP'!$G$3:$G$501,'Plan prihoda za unos u SAP'!$C$3:$C$501,"=575",'Plan prihoda za unos u SAP'!$K$3:$K$501,"=681")</f>
        <v>0</v>
      </c>
      <c r="R25" s="189">
        <f>SUMIFS('Plan prihoda za unos u SAP'!$G$3:$G$501,'Plan prihoda za unos u SAP'!$C$3:$C$501,"=576",'Plan prihoda za unos u SAP'!$K$3:$K$501,"=681")</f>
        <v>0</v>
      </c>
      <c r="S25" s="189">
        <f>SUMIFS('Plan prihoda za unos u SAP'!$G$3:$G$501,'Plan prihoda za unos u SAP'!$C$3:$C$501,"=61",'Plan prihoda za unos u SAP'!$K$3:$K$501,"=681")</f>
        <v>0</v>
      </c>
      <c r="T25" s="189">
        <f>SUMIFS('Plan prihoda za unos u SAP'!$G$3:$G$501,'Plan prihoda za unos u SAP'!$C$3:$C$501,"=63",'Plan prihoda za unos u SAP'!$K$3:$K$501,"=681")</f>
        <v>0</v>
      </c>
      <c r="U25" s="189">
        <f>SUMIFS('Plan prihoda za unos u SAP'!$G$3:$G$501,'Plan prihoda za unos u SAP'!$C$3:$C$501,"=71",'Plan prihoda za unos u SAP'!$K$3:$K$501,"=681")</f>
        <v>0</v>
      </c>
      <c r="V25" s="189">
        <f>SUMIFS('Plan prihoda za unos u SAP'!$G$3:$G$501,'Plan prihoda za unos u SAP'!$C$3:$C$501,"=81",'Plan prihoda za unos u SAP'!$K$3:$K$501,"=681")</f>
        <v>0</v>
      </c>
      <c r="W25" s="189">
        <f>SUMIFS('Plan prihoda za unos u SAP'!$G$3:$G$501,'Plan prihoda za unos u SAP'!$C$3:$C$501,"=83",'Plan prihoda za unos u SAP'!$K$3:$K$501,"=681")</f>
        <v>0</v>
      </c>
    </row>
    <row r="26" spans="1:23" s="90" customFormat="1">
      <c r="A26" s="90">
        <v>2021</v>
      </c>
      <c r="B26" s="95" t="s">
        <v>303</v>
      </c>
      <c r="C26" s="96" t="s">
        <v>304</v>
      </c>
      <c r="D26" s="70">
        <f t="shared" si="1"/>
        <v>0</v>
      </c>
      <c r="E26" s="189">
        <f>SUMIFS('Plan prihoda za unos u SAP'!$G$3:$G$501,'Plan prihoda za unos u SAP'!$C$3:$C$501,"=11",'Plan prihoda za unos u SAP'!$K$3:$K$501,"=683")</f>
        <v>0</v>
      </c>
      <c r="F26" s="189">
        <f>SUMIFS('Plan prihoda za unos u SAP'!$G$3:$G$501,'Plan prihoda za unos u SAP'!$C$3:$C$501,"=12",'Plan prihoda za unos u SAP'!$K$3:$K$501,"=683")</f>
        <v>0</v>
      </c>
      <c r="G26" s="189">
        <f>SUMIFS('Plan prihoda za unos u SAP'!$G$3:$G$501,'Plan prihoda za unos u SAP'!$C$3:$C$501,"=31",'Plan prihoda za unos u SAP'!$K$3:$K$501,"=683")</f>
        <v>0</v>
      </c>
      <c r="H26" s="189">
        <f>SUMIFS('Plan prihoda za unos u SAP'!$G$3:$G$501,'Plan prihoda za unos u SAP'!$C$3:$C$501,"=41",'Plan prihoda za unos u SAP'!$K$3:$K$501,"=683")</f>
        <v>0</v>
      </c>
      <c r="I26" s="189">
        <f>SUMIFS('Plan prihoda za unos u SAP'!$G$3:$G$501,'Plan prihoda za unos u SAP'!$C$3:$C$501,"=43",'Plan prihoda za unos u SAP'!$K$3:$K$501,"=683")</f>
        <v>0</v>
      </c>
      <c r="J26" s="189">
        <f>SUMIFS('Plan prihoda za unos u SAP'!$G$3:$G$501,'Plan prihoda za unos u SAP'!$C$3:$C$501,"=51",'Plan prihoda za unos u SAP'!$K$3:$K$501,"=683")</f>
        <v>0</v>
      </c>
      <c r="K26" s="189">
        <f>SUMIFS('Plan prihoda za unos u SAP'!$G$3:$G$501,'Plan prihoda za unos u SAP'!$C$3:$C$501,"=52",'Plan prihoda za unos u SAP'!$K$3:$K$501,"=683")</f>
        <v>0</v>
      </c>
      <c r="L26" s="189">
        <f>SUMIFS('Plan prihoda za unos u SAP'!$G$3:$G$501,'Plan prihoda za unos u SAP'!$C$3:$C$501,"=552",'Plan prihoda za unos u SAP'!$K$3:$K$501,"=683")</f>
        <v>0</v>
      </c>
      <c r="M26" s="189">
        <f>SUMIFS('Plan prihoda za unos u SAP'!$G$3:$G$501,'Plan prihoda za unos u SAP'!$C$3:$C$501,"=559",'Plan prihoda za unos u SAP'!$K$3:$K$501,"=683")</f>
        <v>0</v>
      </c>
      <c r="N26" s="189">
        <f>SUMIFS('Plan prihoda za unos u SAP'!$G$3:$G$501,'Plan prihoda za unos u SAP'!$C$3:$C$501,"=561",'Plan prihoda za unos u SAP'!$K$3:$K$501,"=683")</f>
        <v>0</v>
      </c>
      <c r="O26" s="189">
        <f>SUMIFS('Plan prihoda za unos u SAP'!$G$3:$G$501,'Plan prihoda za unos u SAP'!$C$3:$C$501,"=563",'Plan prihoda za unos u SAP'!$K$3:$K$501,"=683")</f>
        <v>0</v>
      </c>
      <c r="P26" s="189">
        <f>SUMIFS('Plan prihoda za unos u SAP'!$G$3:$G$501,'Plan prihoda za unos u SAP'!$C$3:$C$501,"=573",'Plan prihoda za unos u SAP'!$K$3:$K$501,"=683")</f>
        <v>0</v>
      </c>
      <c r="Q26" s="189">
        <f>SUMIFS('Plan prihoda za unos u SAP'!$G$3:$G$501,'Plan prihoda za unos u SAP'!$C$3:$C$501,"=575",'Plan prihoda za unos u SAP'!$K$3:$K$501,"=683")</f>
        <v>0</v>
      </c>
      <c r="R26" s="189">
        <f>SUMIFS('Plan prihoda za unos u SAP'!$G$3:$G$501,'Plan prihoda za unos u SAP'!$C$3:$C$501,"=576",'Plan prihoda za unos u SAP'!$K$3:$K$501,"=683")</f>
        <v>0</v>
      </c>
      <c r="S26" s="189">
        <f>SUMIFS('Plan prihoda za unos u SAP'!$G$3:$G$501,'Plan prihoda za unos u SAP'!$C$3:$C$501,"=61",'Plan prihoda za unos u SAP'!$K$3:$K$501,"=683")</f>
        <v>0</v>
      </c>
      <c r="T26" s="189">
        <f>SUMIFS('Plan prihoda za unos u SAP'!$G$3:$G$501,'Plan prihoda za unos u SAP'!$C$3:$C$501,"=63",'Plan prihoda za unos u SAP'!$K$3:$K$501,"=683")</f>
        <v>0</v>
      </c>
      <c r="U26" s="189">
        <f>SUMIFS('Plan prihoda za unos u SAP'!$G$3:$G$501,'Plan prihoda za unos u SAP'!$C$3:$C$501,"=71",'Plan prihoda za unos u SAP'!$K$3:$K$501,"=683")</f>
        <v>0</v>
      </c>
      <c r="V26" s="189">
        <f>SUMIFS('Plan prihoda za unos u SAP'!$G$3:$G$501,'Plan prihoda za unos u SAP'!$C$3:$C$501,"=81",'Plan prihoda za unos u SAP'!$K$3:$K$501,"=683")</f>
        <v>0</v>
      </c>
      <c r="W26" s="189">
        <f>SUMIFS('Plan prihoda za unos u SAP'!$G$3:$G$501,'Plan prihoda za unos u SAP'!$C$3:$C$501,"=83",'Plan prihoda za unos u SAP'!$K$3:$K$501,"=683")</f>
        <v>0</v>
      </c>
    </row>
    <row r="27" spans="1:23" s="90" customFormat="1">
      <c r="A27" s="90">
        <v>2021</v>
      </c>
      <c r="B27" s="98" t="s">
        <v>305</v>
      </c>
      <c r="C27" s="99" t="s">
        <v>306</v>
      </c>
      <c r="D27" s="70">
        <f t="shared" si="1"/>
        <v>170730836</v>
      </c>
      <c r="E27" s="4">
        <f>SUM(E11:E26)</f>
        <v>153483452</v>
      </c>
      <c r="F27" s="4">
        <f t="shared" ref="F27:W27" si="4">SUM(F11:F26)</f>
        <v>0</v>
      </c>
      <c r="G27" s="4">
        <f t="shared" si="4"/>
        <v>9315000</v>
      </c>
      <c r="H27" s="4">
        <f t="shared" si="4"/>
        <v>0</v>
      </c>
      <c r="I27" s="4">
        <f t="shared" si="4"/>
        <v>3943010</v>
      </c>
      <c r="J27" s="4">
        <f t="shared" si="4"/>
        <v>3659374</v>
      </c>
      <c r="K27" s="4">
        <f t="shared" si="4"/>
        <v>100000</v>
      </c>
      <c r="L27" s="4">
        <f t="shared" si="4"/>
        <v>0</v>
      </c>
      <c r="M27" s="4">
        <f t="shared" si="4"/>
        <v>0</v>
      </c>
      <c r="N27" s="4">
        <f t="shared" si="4"/>
        <v>0</v>
      </c>
      <c r="O27" s="4">
        <f t="shared" si="4"/>
        <v>0</v>
      </c>
      <c r="P27" s="4">
        <f t="shared" si="4"/>
        <v>0</v>
      </c>
      <c r="Q27" s="4">
        <f>SUM(Q11:Q26)</f>
        <v>0</v>
      </c>
      <c r="R27" s="4">
        <f t="shared" ref="R27" si="5">SUM(R11:R26)</f>
        <v>0</v>
      </c>
      <c r="S27" s="4">
        <f>SUM(S11:S26)</f>
        <v>230000</v>
      </c>
      <c r="T27" s="4">
        <f t="shared" si="4"/>
        <v>0</v>
      </c>
      <c r="U27" s="4">
        <f t="shared" si="4"/>
        <v>0</v>
      </c>
      <c r="V27" s="4">
        <f t="shared" si="4"/>
        <v>0</v>
      </c>
      <c r="W27" s="4">
        <f t="shared" si="4"/>
        <v>0</v>
      </c>
    </row>
    <row r="28" spans="1:23" s="90" customFormat="1">
      <c r="A28" s="90">
        <v>2021</v>
      </c>
      <c r="B28" s="95" t="s">
        <v>318</v>
      </c>
      <c r="C28" s="100" t="s">
        <v>319</v>
      </c>
      <c r="D28" s="70">
        <f t="shared" si="1"/>
        <v>0</v>
      </c>
      <c r="E28" s="189">
        <f>SUMIFS('Plan prihoda za unos u SAP'!$G$3:$G$501,'Plan prihoda za unos u SAP'!$C$3:$C$501,"=11",'Plan prihoda za unos u SAP'!$K$3:$K$501,"=711")</f>
        <v>0</v>
      </c>
      <c r="F28" s="189">
        <f>SUMIFS('Plan prihoda za unos u SAP'!$G$3:$G$501,'Plan prihoda za unos u SAP'!$C$3:$C$501,"=12",'Plan prihoda za unos u SAP'!$K$3:$K$501,"=711")</f>
        <v>0</v>
      </c>
      <c r="G28" s="189">
        <f>SUMIFS('Plan prihoda za unos u SAP'!$G$3:$G$501,'Plan prihoda za unos u SAP'!$C$3:$C$501,"=31",'Plan prihoda za unos u SAP'!$K$3:$K$501,"=711")</f>
        <v>0</v>
      </c>
      <c r="H28" s="189">
        <f>SUMIFS('Plan prihoda za unos u SAP'!$G$3:$G$501,'Plan prihoda za unos u SAP'!$C$3:$C$501,"=41",'Plan prihoda za unos u SAP'!$K$3:$K$501,"=711")</f>
        <v>0</v>
      </c>
      <c r="I28" s="189">
        <f>SUMIFS('Plan prihoda za unos u SAP'!$G$3:$G$501,'Plan prihoda za unos u SAP'!$C$3:$C$501,"=43",'Plan prihoda za unos u SAP'!$K$3:$K$501,"=711")</f>
        <v>0</v>
      </c>
      <c r="J28" s="189">
        <f>SUMIFS('Plan prihoda za unos u SAP'!$G$3:$G$501,'Plan prihoda za unos u SAP'!$C$3:$C$501,"=51",'Plan prihoda za unos u SAP'!$K$3:$K$501,"=711")</f>
        <v>0</v>
      </c>
      <c r="K28" s="189">
        <f>SUMIFS('Plan prihoda za unos u SAP'!$G$3:$G$501,'Plan prihoda za unos u SAP'!$C$3:$C$501,"=52",'Plan prihoda za unos u SAP'!$K$3:$K$501,"=711")</f>
        <v>0</v>
      </c>
      <c r="L28" s="189">
        <f>SUMIFS('Plan prihoda za unos u SAP'!$G$3:$G$501,'Plan prihoda za unos u SAP'!$C$3:$C$501,"=552",'Plan prihoda za unos u SAP'!$K$3:$K$501,"=711")</f>
        <v>0</v>
      </c>
      <c r="M28" s="189">
        <f>SUMIFS('Plan prihoda za unos u SAP'!$G$3:$G$501,'Plan prihoda za unos u SAP'!$C$3:$C$501,"=559",'Plan prihoda za unos u SAP'!$K$3:$K$501,"=711")</f>
        <v>0</v>
      </c>
      <c r="N28" s="189">
        <f>SUMIFS('Plan prihoda za unos u SAP'!$G$3:$G$501,'Plan prihoda za unos u SAP'!$C$3:$C$501,"=561",'Plan prihoda za unos u SAP'!$K$3:$K$501,"=711")</f>
        <v>0</v>
      </c>
      <c r="O28" s="189">
        <f>SUMIFS('Plan prihoda za unos u SAP'!$G$3:$G$501,'Plan prihoda za unos u SAP'!$C$3:$C$501,"=563",'Plan prihoda za unos u SAP'!$K$3:$K$501,"=711")</f>
        <v>0</v>
      </c>
      <c r="P28" s="189">
        <f>SUMIFS('Plan prihoda za unos u SAP'!$G$3:$G$501,'Plan prihoda za unos u SAP'!$C$3:$C$501,"=573",'Plan prihoda za unos u SAP'!$K$3:$K$501,"=711")</f>
        <v>0</v>
      </c>
      <c r="Q28" s="189">
        <f>SUMIFS('Plan prihoda za unos u SAP'!$G$3:$G$501,'Plan prihoda za unos u SAP'!$C$3:$C$501,"=575",'Plan prihoda za unos u SAP'!$K$3:$K$501,"=711")</f>
        <v>0</v>
      </c>
      <c r="R28" s="189">
        <f>SUMIFS('Plan prihoda za unos u SAP'!$G$3:$G$501,'Plan prihoda za unos u SAP'!$C$3:$C$501,"=576",'Plan prihoda za unos u SAP'!$K$3:$K$501,"=711")</f>
        <v>0</v>
      </c>
      <c r="S28" s="189">
        <f>SUMIFS('Plan prihoda za unos u SAP'!$G$3:$G$501,'Plan prihoda za unos u SAP'!$C$3:$C$501,"=61",'Plan prihoda za unos u SAP'!$K$3:$K$501,"=711")</f>
        <v>0</v>
      </c>
      <c r="T28" s="189">
        <f>SUMIFS('Plan prihoda za unos u SAP'!$G$3:$G$501,'Plan prihoda za unos u SAP'!$C$3:$C$501,"=63",'Plan prihoda za unos u SAP'!$K$3:$K$501,"=711")</f>
        <v>0</v>
      </c>
      <c r="U28" s="189">
        <f>SUMIFS('Plan prihoda za unos u SAP'!$G$3:$G$501,'Plan prihoda za unos u SAP'!$C$3:$C$501,"=71",'Plan prihoda za unos u SAP'!$K$3:$K$501,"=711")</f>
        <v>0</v>
      </c>
      <c r="V28" s="189">
        <f>SUMIFS('Plan prihoda za unos u SAP'!$G$3:$G$501,'Plan prihoda za unos u SAP'!$C$3:$C$501,"=81",'Plan prihoda za unos u SAP'!$K$3:$K$501,"=711")</f>
        <v>0</v>
      </c>
      <c r="W28" s="189">
        <f>SUMIFS('Plan prihoda za unos u SAP'!$G$3:$G$501,'Plan prihoda za unos u SAP'!$C$3:$C$501,"=83",'Plan prihoda za unos u SAP'!$K$3:$K$501,"=711")</f>
        <v>0</v>
      </c>
    </row>
    <row r="29" spans="1:23" s="90" customFormat="1">
      <c r="A29" s="90">
        <v>2021</v>
      </c>
      <c r="B29" s="95" t="s">
        <v>320</v>
      </c>
      <c r="C29" s="100" t="s">
        <v>321</v>
      </c>
      <c r="D29" s="70">
        <f t="shared" si="1"/>
        <v>0</v>
      </c>
      <c r="E29" s="189">
        <f>SUMIFS('Plan prihoda za unos u SAP'!$G$3:$G$501,'Plan prihoda za unos u SAP'!$C$3:$C$501,"=11",'Plan prihoda za unos u SAP'!$K$3:$K$501,"=712")</f>
        <v>0</v>
      </c>
      <c r="F29" s="189">
        <f>SUMIFS('Plan prihoda za unos u SAP'!$G$3:$G$501,'Plan prihoda za unos u SAP'!$C$3:$C$501,"=12",'Plan prihoda za unos u SAP'!$K$3:$K$501,"=712")</f>
        <v>0</v>
      </c>
      <c r="G29" s="189">
        <f>SUMIFS('Plan prihoda za unos u SAP'!$G$3:$G$501,'Plan prihoda za unos u SAP'!$C$3:$C$501,"=31",'Plan prihoda za unos u SAP'!$K$3:$K$501,"=712")</f>
        <v>0</v>
      </c>
      <c r="H29" s="189">
        <f>SUMIFS('Plan prihoda za unos u SAP'!$G$3:$G$501,'Plan prihoda za unos u SAP'!$C$3:$C$501,"=41",'Plan prihoda za unos u SAP'!$K$3:$K$501,"=712")</f>
        <v>0</v>
      </c>
      <c r="I29" s="189">
        <f>SUMIFS('Plan prihoda za unos u SAP'!$G$3:$G$501,'Plan prihoda za unos u SAP'!$C$3:$C$501,"=43",'Plan prihoda za unos u SAP'!$K$3:$K$501,"=712")</f>
        <v>0</v>
      </c>
      <c r="J29" s="189">
        <f>SUMIFS('Plan prihoda za unos u SAP'!$G$3:$G$501,'Plan prihoda za unos u SAP'!$C$3:$C$501,"=51",'Plan prihoda za unos u SAP'!$K$3:$K$501,"=712")</f>
        <v>0</v>
      </c>
      <c r="K29" s="189">
        <f>SUMIFS('Plan prihoda za unos u SAP'!$G$3:$G$501,'Plan prihoda za unos u SAP'!$C$3:$C$501,"=52",'Plan prihoda za unos u SAP'!$K$3:$K$501,"=712")</f>
        <v>0</v>
      </c>
      <c r="L29" s="189">
        <f>SUMIFS('Plan prihoda za unos u SAP'!$G$3:$G$501,'Plan prihoda za unos u SAP'!$C$3:$C$501,"=552",'Plan prihoda za unos u SAP'!$K$3:$K$501,"=712")</f>
        <v>0</v>
      </c>
      <c r="M29" s="189">
        <f>SUMIFS('Plan prihoda za unos u SAP'!$G$3:$G$501,'Plan prihoda za unos u SAP'!$C$3:$C$501,"=559",'Plan prihoda za unos u SAP'!$K$3:$K$501,"=712")</f>
        <v>0</v>
      </c>
      <c r="N29" s="189">
        <f>SUMIFS('Plan prihoda za unos u SAP'!$G$3:$G$501,'Plan prihoda za unos u SAP'!$C$3:$C$501,"=561",'Plan prihoda za unos u SAP'!$K$3:$K$501,"=712")</f>
        <v>0</v>
      </c>
      <c r="O29" s="189">
        <f>SUMIFS('Plan prihoda za unos u SAP'!$G$3:$G$501,'Plan prihoda za unos u SAP'!$C$3:$C$501,"=563",'Plan prihoda za unos u SAP'!$K$3:$K$501,"=712")</f>
        <v>0</v>
      </c>
      <c r="P29" s="189">
        <f>SUMIFS('Plan prihoda za unos u SAP'!$G$3:$G$501,'Plan prihoda za unos u SAP'!$C$3:$C$501,"=573",'Plan prihoda za unos u SAP'!$K$3:$K$501,"=712")</f>
        <v>0</v>
      </c>
      <c r="Q29" s="189">
        <f>SUMIFS('Plan prihoda za unos u SAP'!$G$3:$G$501,'Plan prihoda za unos u SAP'!$C$3:$C$501,"=575",'Plan prihoda za unos u SAP'!$K$3:$K$501,"=712")</f>
        <v>0</v>
      </c>
      <c r="R29" s="189">
        <f>SUMIFS('Plan prihoda za unos u SAP'!$G$3:$G$501,'Plan prihoda za unos u SAP'!$C$3:$C$501,"=576",'Plan prihoda za unos u SAP'!$K$3:$K$501,"=712")</f>
        <v>0</v>
      </c>
      <c r="S29" s="189">
        <f>SUMIFS('Plan prihoda za unos u SAP'!$G$3:$G$501,'Plan prihoda za unos u SAP'!$C$3:$C$501,"=61",'Plan prihoda za unos u SAP'!$K$3:$K$501,"=712")</f>
        <v>0</v>
      </c>
      <c r="T29" s="189">
        <f>SUMIFS('Plan prihoda za unos u SAP'!$G$3:$G$501,'Plan prihoda za unos u SAP'!$C$3:$C$501,"=63",'Plan prihoda za unos u SAP'!$K$3:$K$501,"=712")</f>
        <v>0</v>
      </c>
      <c r="U29" s="189">
        <f>SUMIFS('Plan prihoda za unos u SAP'!$G$3:$G$501,'Plan prihoda za unos u SAP'!$C$3:$C$501,"=71",'Plan prihoda za unos u SAP'!$K$3:$K$501,"=712")</f>
        <v>0</v>
      </c>
      <c r="V29" s="189">
        <f>SUMIFS('Plan prihoda za unos u SAP'!$G$3:$G$501,'Plan prihoda za unos u SAP'!$C$3:$C$501,"=81",'Plan prihoda za unos u SAP'!$K$3:$K$501,"=712")</f>
        <v>0</v>
      </c>
      <c r="W29" s="189">
        <f>SUMIFS('Plan prihoda za unos u SAP'!$G$3:$G$501,'Plan prihoda za unos u SAP'!$C$3:$C$501,"=83",'Plan prihoda za unos u SAP'!$K$3:$K$501,"=712")</f>
        <v>0</v>
      </c>
    </row>
    <row r="30" spans="1:23" s="90" customFormat="1">
      <c r="A30" s="90">
        <v>2021</v>
      </c>
      <c r="B30" s="95" t="s">
        <v>307</v>
      </c>
      <c r="C30" s="100" t="s">
        <v>308</v>
      </c>
      <c r="D30" s="70">
        <f t="shared" si="1"/>
        <v>0</v>
      </c>
      <c r="E30" s="189">
        <f>SUMIFS('Plan prihoda za unos u SAP'!$G$3:$G$501,'Plan prihoda za unos u SAP'!$C$3:$C$501,"=11",'Plan prihoda za unos u SAP'!$K$3:$K$501,"=721")</f>
        <v>0</v>
      </c>
      <c r="F30" s="189">
        <f>SUMIFS('Plan prihoda za unos u SAP'!$G$3:$G$501,'Plan prihoda za unos u SAP'!$C$3:$C$501,"=12",'Plan prihoda za unos u SAP'!$K$3:$K$501,"=721")</f>
        <v>0</v>
      </c>
      <c r="G30" s="189">
        <f>SUMIFS('Plan prihoda za unos u SAP'!$G$3:$G$501,'Plan prihoda za unos u SAP'!$C$3:$C$501,"=31",'Plan prihoda za unos u SAP'!$K$3:$K$501,"=721")</f>
        <v>0</v>
      </c>
      <c r="H30" s="189">
        <f>SUMIFS('Plan prihoda za unos u SAP'!$G$3:$G$501,'Plan prihoda za unos u SAP'!$C$3:$C$501,"=41",'Plan prihoda za unos u SAP'!$K$3:$K$501,"=721")</f>
        <v>0</v>
      </c>
      <c r="I30" s="189">
        <f>SUMIFS('Plan prihoda za unos u SAP'!$G$3:$G$501,'Plan prihoda za unos u SAP'!$C$3:$C$501,"=43",'Plan prihoda za unos u SAP'!$K$3:$K$501,"=721")</f>
        <v>0</v>
      </c>
      <c r="J30" s="189">
        <f>SUMIFS('Plan prihoda za unos u SAP'!$G$3:$G$501,'Plan prihoda za unos u SAP'!$C$3:$C$501,"=51",'Plan prihoda za unos u SAP'!$K$3:$K$501,"=721")</f>
        <v>0</v>
      </c>
      <c r="K30" s="189">
        <f>SUMIFS('Plan prihoda za unos u SAP'!$G$3:$G$501,'Plan prihoda za unos u SAP'!$C$3:$C$501,"=52",'Plan prihoda za unos u SAP'!$K$3:$K$501,"=721")</f>
        <v>0</v>
      </c>
      <c r="L30" s="189">
        <f>SUMIFS('Plan prihoda za unos u SAP'!$G$3:$G$501,'Plan prihoda za unos u SAP'!$C$3:$C$501,"=552",'Plan prihoda za unos u SAP'!$K$3:$K$501,"=721")</f>
        <v>0</v>
      </c>
      <c r="M30" s="189">
        <f>SUMIFS('Plan prihoda za unos u SAP'!$G$3:$G$501,'Plan prihoda za unos u SAP'!$C$3:$C$501,"=559",'Plan prihoda za unos u SAP'!$K$3:$K$501,"=721")</f>
        <v>0</v>
      </c>
      <c r="N30" s="189">
        <f>SUMIFS('Plan prihoda za unos u SAP'!$G$3:$G$501,'Plan prihoda za unos u SAP'!$C$3:$C$501,"=561",'Plan prihoda za unos u SAP'!$K$3:$K$501,"=721")</f>
        <v>0</v>
      </c>
      <c r="O30" s="189">
        <f>SUMIFS('Plan prihoda za unos u SAP'!$G$3:$G$501,'Plan prihoda za unos u SAP'!$C$3:$C$501,"=563",'Plan prihoda za unos u SAP'!$K$3:$K$501,"=721")</f>
        <v>0</v>
      </c>
      <c r="P30" s="189">
        <f>SUMIFS('Plan prihoda za unos u SAP'!$G$3:$G$501,'Plan prihoda za unos u SAP'!$C$3:$C$501,"=573",'Plan prihoda za unos u SAP'!$K$3:$K$501,"=721")</f>
        <v>0</v>
      </c>
      <c r="Q30" s="189">
        <f>SUMIFS('Plan prihoda za unos u SAP'!$G$3:$G$501,'Plan prihoda za unos u SAP'!$C$3:$C$501,"=575",'Plan prihoda za unos u SAP'!$K$3:$K$501,"=721")</f>
        <v>0</v>
      </c>
      <c r="R30" s="189">
        <f>SUMIFS('Plan prihoda za unos u SAP'!$G$3:$G$501,'Plan prihoda za unos u SAP'!$C$3:$C$501,"=576",'Plan prihoda za unos u SAP'!$K$3:$K$501,"=721")</f>
        <v>0</v>
      </c>
      <c r="S30" s="189">
        <f>SUMIFS('Plan prihoda za unos u SAP'!$G$3:$G$501,'Plan prihoda za unos u SAP'!$C$3:$C$501,"=61",'Plan prihoda za unos u SAP'!$K$3:$K$501,"=721")</f>
        <v>0</v>
      </c>
      <c r="T30" s="189">
        <f>SUMIFS('Plan prihoda za unos u SAP'!$G$3:$G$501,'Plan prihoda za unos u SAP'!$C$3:$C$501,"=63",'Plan prihoda za unos u SAP'!$K$3:$K$501,"=721")</f>
        <v>0</v>
      </c>
      <c r="U30" s="189">
        <f>SUMIFS('Plan prihoda za unos u SAP'!$G$3:$G$501,'Plan prihoda za unos u SAP'!$C$3:$C$501,"=71",'Plan prihoda za unos u SAP'!$K$3:$K$501,"=721")</f>
        <v>0</v>
      </c>
      <c r="V30" s="189">
        <f>SUMIFS('Plan prihoda za unos u SAP'!$G$3:$G$501,'Plan prihoda za unos u SAP'!$C$3:$C$501,"=81",'Plan prihoda za unos u SAP'!$K$3:$K$501,"=721")</f>
        <v>0</v>
      </c>
      <c r="W30" s="189">
        <f>SUMIFS('Plan prihoda za unos u SAP'!$G$3:$G$501,'Plan prihoda za unos u SAP'!$C$3:$C$501,"=83",'Plan prihoda za unos u SAP'!$K$3:$K$501,"=721")</f>
        <v>0</v>
      </c>
    </row>
    <row r="31" spans="1:23" s="90" customFormat="1">
      <c r="A31" s="90">
        <v>2021</v>
      </c>
      <c r="B31" s="95" t="s">
        <v>309</v>
      </c>
      <c r="C31" s="100" t="s">
        <v>310</v>
      </c>
      <c r="D31" s="70">
        <f t="shared" si="1"/>
        <v>0</v>
      </c>
      <c r="E31" s="189">
        <f>SUMIFS('Plan prihoda za unos u SAP'!$G$3:$G$501,'Plan prihoda za unos u SAP'!$C$3:$C$501,"=11",'Plan prihoda za unos u SAP'!$K$3:$K$501,"=722")</f>
        <v>0</v>
      </c>
      <c r="F31" s="189">
        <f>SUMIFS('Plan prihoda za unos u SAP'!$G$3:$G$501,'Plan prihoda za unos u SAP'!$C$3:$C$501,"=12",'Plan prihoda za unos u SAP'!$K$3:$K$501,"=722")</f>
        <v>0</v>
      </c>
      <c r="G31" s="189">
        <f>SUMIFS('Plan prihoda za unos u SAP'!$G$3:$G$501,'Plan prihoda za unos u SAP'!$C$3:$C$501,"=31",'Plan prihoda za unos u SAP'!$K$3:$K$501,"=722")</f>
        <v>0</v>
      </c>
      <c r="H31" s="189">
        <f>SUMIFS('Plan prihoda za unos u SAP'!$G$3:$G$501,'Plan prihoda za unos u SAP'!$C$3:$C$501,"=41",'Plan prihoda za unos u SAP'!$K$3:$K$501,"=722")</f>
        <v>0</v>
      </c>
      <c r="I31" s="189">
        <f>SUMIFS('Plan prihoda za unos u SAP'!$G$3:$G$501,'Plan prihoda za unos u SAP'!$C$3:$C$501,"=43",'Plan prihoda za unos u SAP'!$K$3:$K$501,"=722")</f>
        <v>0</v>
      </c>
      <c r="J31" s="189">
        <f>SUMIFS('Plan prihoda za unos u SAP'!$G$3:$G$501,'Plan prihoda za unos u SAP'!$C$3:$C$501,"=51",'Plan prihoda za unos u SAP'!$K$3:$K$501,"=722")</f>
        <v>0</v>
      </c>
      <c r="K31" s="189">
        <f>SUMIFS('Plan prihoda za unos u SAP'!$G$3:$G$501,'Plan prihoda za unos u SAP'!$C$3:$C$501,"=52",'Plan prihoda za unos u SAP'!$K$3:$K$501,"=722")</f>
        <v>0</v>
      </c>
      <c r="L31" s="189">
        <f>SUMIFS('Plan prihoda za unos u SAP'!$G$3:$G$501,'Plan prihoda za unos u SAP'!$C$3:$C$501,"=552",'Plan prihoda za unos u SAP'!$K$3:$K$501,"=722")</f>
        <v>0</v>
      </c>
      <c r="M31" s="189">
        <f>SUMIFS('Plan prihoda za unos u SAP'!$G$3:$G$501,'Plan prihoda za unos u SAP'!$C$3:$C$501,"=559",'Plan prihoda za unos u SAP'!$K$3:$K$501,"=722")</f>
        <v>0</v>
      </c>
      <c r="N31" s="189">
        <f>SUMIFS('Plan prihoda za unos u SAP'!$G$3:$G$501,'Plan prihoda za unos u SAP'!$C$3:$C$501,"=561",'Plan prihoda za unos u SAP'!$K$3:$K$501,"=722")</f>
        <v>0</v>
      </c>
      <c r="O31" s="189">
        <f>SUMIFS('Plan prihoda za unos u SAP'!$G$3:$G$501,'Plan prihoda za unos u SAP'!$C$3:$C$501,"=563",'Plan prihoda za unos u SAP'!$K$3:$K$501,"=722")</f>
        <v>0</v>
      </c>
      <c r="P31" s="189">
        <f>SUMIFS('Plan prihoda za unos u SAP'!$G$3:$G$501,'Plan prihoda za unos u SAP'!$C$3:$C$501,"=573",'Plan prihoda za unos u SAP'!$K$3:$K$501,"=722")</f>
        <v>0</v>
      </c>
      <c r="Q31" s="189">
        <f>SUMIFS('Plan prihoda za unos u SAP'!$G$3:$G$501,'Plan prihoda za unos u SAP'!$C$3:$C$501,"=575",'Plan prihoda za unos u SAP'!$K$3:$K$501,"=722")</f>
        <v>0</v>
      </c>
      <c r="R31" s="189">
        <f>SUMIFS('Plan prihoda za unos u SAP'!$G$3:$G$501,'Plan prihoda za unos u SAP'!$C$3:$C$501,"=576",'Plan prihoda za unos u SAP'!$K$3:$K$501,"=722")</f>
        <v>0</v>
      </c>
      <c r="S31" s="189">
        <f>SUMIFS('Plan prihoda za unos u SAP'!$G$3:$G$501,'Plan prihoda za unos u SAP'!$C$3:$C$501,"=61",'Plan prihoda za unos u SAP'!$K$3:$K$501,"=722")</f>
        <v>0</v>
      </c>
      <c r="T31" s="189">
        <f>SUMIFS('Plan prihoda za unos u SAP'!$G$3:$G$501,'Plan prihoda za unos u SAP'!$C$3:$C$501,"=63",'Plan prihoda za unos u SAP'!$K$3:$K$501,"=722")</f>
        <v>0</v>
      </c>
      <c r="U31" s="189">
        <f>SUMIFS('Plan prihoda za unos u SAP'!$G$3:$G$501,'Plan prihoda za unos u SAP'!$C$3:$C$501,"=71",'Plan prihoda za unos u SAP'!$K$3:$K$501,"=722")</f>
        <v>0</v>
      </c>
      <c r="V31" s="189">
        <f>SUMIFS('Plan prihoda za unos u SAP'!$G$3:$G$501,'Plan prihoda za unos u SAP'!$C$3:$C$501,"=81",'Plan prihoda za unos u SAP'!$K$3:$K$501,"=722")</f>
        <v>0</v>
      </c>
      <c r="W31" s="189">
        <f>SUMIFS('Plan prihoda za unos u SAP'!$G$3:$G$501,'Plan prihoda za unos u SAP'!$C$3:$C$501,"=83",'Plan prihoda za unos u SAP'!$K$3:$K$501,"=722")</f>
        <v>0</v>
      </c>
    </row>
    <row r="32" spans="1:23" s="90" customFormat="1">
      <c r="A32" s="90">
        <v>2021</v>
      </c>
      <c r="B32" s="95" t="s">
        <v>311</v>
      </c>
      <c r="C32" s="100" t="s">
        <v>312</v>
      </c>
      <c r="D32" s="70">
        <f t="shared" si="1"/>
        <v>0</v>
      </c>
      <c r="E32" s="189">
        <f>SUMIFS('Plan prihoda za unos u SAP'!$G$3:$G$501,'Plan prihoda za unos u SAP'!$C$3:$C$501,"=11",'Plan prihoda za unos u SAP'!$K$3:$K$501,"=723")</f>
        <v>0</v>
      </c>
      <c r="F32" s="189">
        <f>SUMIFS('Plan prihoda za unos u SAP'!$G$3:$G$501,'Plan prihoda za unos u SAP'!$C$3:$C$501,"=12",'Plan prihoda za unos u SAP'!$K$3:$K$501,"=723")</f>
        <v>0</v>
      </c>
      <c r="G32" s="189">
        <f>SUMIFS('Plan prihoda za unos u SAP'!$G$3:$G$501,'Plan prihoda za unos u SAP'!$C$3:$C$501,"=31",'Plan prihoda za unos u SAP'!$K$3:$K$501,"=723")</f>
        <v>0</v>
      </c>
      <c r="H32" s="189">
        <f>SUMIFS('Plan prihoda za unos u SAP'!$G$3:$G$501,'Plan prihoda za unos u SAP'!$C$3:$C$501,"=41",'Plan prihoda za unos u SAP'!$K$3:$K$501,"=723")</f>
        <v>0</v>
      </c>
      <c r="I32" s="189">
        <f>SUMIFS('Plan prihoda za unos u SAP'!$G$3:$G$501,'Plan prihoda za unos u SAP'!$C$3:$C$501,"=43",'Plan prihoda za unos u SAP'!$K$3:$K$501,"=723")</f>
        <v>0</v>
      </c>
      <c r="J32" s="189">
        <f>SUMIFS('Plan prihoda za unos u SAP'!$G$3:$G$501,'Plan prihoda za unos u SAP'!$C$3:$C$501,"=51",'Plan prihoda za unos u SAP'!$K$3:$K$501,"=723")</f>
        <v>0</v>
      </c>
      <c r="K32" s="189">
        <f>SUMIFS('Plan prihoda za unos u SAP'!$G$3:$G$501,'Plan prihoda za unos u SAP'!$C$3:$C$501,"=52",'Plan prihoda za unos u SAP'!$K$3:$K$501,"=723")</f>
        <v>0</v>
      </c>
      <c r="L32" s="189">
        <f>SUMIFS('Plan prihoda za unos u SAP'!$G$3:$G$501,'Plan prihoda za unos u SAP'!$C$3:$C$501,"=552",'Plan prihoda za unos u SAP'!$K$3:$K$501,"=723")</f>
        <v>0</v>
      </c>
      <c r="M32" s="189">
        <f>SUMIFS('Plan prihoda za unos u SAP'!$G$3:$G$501,'Plan prihoda za unos u SAP'!$C$3:$C$501,"=559",'Plan prihoda za unos u SAP'!$K$3:$K$501,"=723")</f>
        <v>0</v>
      </c>
      <c r="N32" s="189">
        <f>SUMIFS('Plan prihoda za unos u SAP'!$G$3:$G$501,'Plan prihoda za unos u SAP'!$C$3:$C$501,"=561",'Plan prihoda za unos u SAP'!$K$3:$K$501,"=723")</f>
        <v>0</v>
      </c>
      <c r="O32" s="189">
        <f>SUMIFS('Plan prihoda za unos u SAP'!$G$3:$G$501,'Plan prihoda za unos u SAP'!$C$3:$C$501,"=563",'Plan prihoda za unos u SAP'!$K$3:$K$501,"=723")</f>
        <v>0</v>
      </c>
      <c r="P32" s="189">
        <f>SUMIFS('Plan prihoda za unos u SAP'!$G$3:$G$501,'Plan prihoda za unos u SAP'!$C$3:$C$501,"=573",'Plan prihoda za unos u SAP'!$K$3:$K$501,"=723")</f>
        <v>0</v>
      </c>
      <c r="Q32" s="189">
        <f>SUMIFS('Plan prihoda za unos u SAP'!$G$3:$G$501,'Plan prihoda za unos u SAP'!$C$3:$C$501,"=575",'Plan prihoda za unos u SAP'!$K$3:$K$501,"=723")</f>
        <v>0</v>
      </c>
      <c r="R32" s="189">
        <f>SUMIFS('Plan prihoda za unos u SAP'!$G$3:$G$501,'Plan prihoda za unos u SAP'!$C$3:$C$501,"=576",'Plan prihoda za unos u SAP'!$K$3:$K$501,"=723")</f>
        <v>0</v>
      </c>
      <c r="S32" s="189">
        <f>SUMIFS('Plan prihoda za unos u SAP'!$G$3:$G$501,'Plan prihoda za unos u SAP'!$C$3:$C$501,"=61",'Plan prihoda za unos u SAP'!$K$3:$K$501,"=723")</f>
        <v>0</v>
      </c>
      <c r="T32" s="189">
        <f>SUMIFS('Plan prihoda za unos u SAP'!$G$3:$G$501,'Plan prihoda za unos u SAP'!$C$3:$C$501,"=63",'Plan prihoda za unos u SAP'!$K$3:$K$501,"=723")</f>
        <v>0</v>
      </c>
      <c r="U32" s="189">
        <f>SUMIFS('Plan prihoda za unos u SAP'!$G$3:$G$501,'Plan prihoda za unos u SAP'!$C$3:$C$501,"=71",'Plan prihoda za unos u SAP'!$K$3:$K$501,"=723")</f>
        <v>0</v>
      </c>
      <c r="V32" s="189">
        <f>SUMIFS('Plan prihoda za unos u SAP'!$G$3:$G$501,'Plan prihoda za unos u SAP'!$C$3:$C$501,"=81",'Plan prihoda za unos u SAP'!$K$3:$K$501,"=723")</f>
        <v>0</v>
      </c>
      <c r="W32" s="189">
        <f>SUMIFS('Plan prihoda za unos u SAP'!$G$3:$G$501,'Plan prihoda za unos u SAP'!$C$3:$C$501,"=83",'Plan prihoda za unos u SAP'!$K$3:$K$501,"=723")</f>
        <v>0</v>
      </c>
    </row>
    <row r="33" spans="1:29" s="90" customFormat="1">
      <c r="A33" s="90">
        <v>2021</v>
      </c>
      <c r="B33" s="95" t="s">
        <v>322</v>
      </c>
      <c r="C33" s="100" t="s">
        <v>323</v>
      </c>
      <c r="D33" s="70">
        <f t="shared" si="1"/>
        <v>0</v>
      </c>
      <c r="E33" s="189">
        <f>SUMIFS('Plan prihoda za unos u SAP'!$G$3:$G$501,'Plan prihoda za unos u SAP'!$C$3:$C$501,"=11",'Plan prihoda za unos u SAP'!$K$3:$K$501,"=725")</f>
        <v>0</v>
      </c>
      <c r="F33" s="189">
        <f>SUMIFS('Plan prihoda za unos u SAP'!$G$3:$G$501,'Plan prihoda za unos u SAP'!$C$3:$C$501,"=12",'Plan prihoda za unos u SAP'!$K$3:$K$501,"=725")</f>
        <v>0</v>
      </c>
      <c r="G33" s="189">
        <f>SUMIFS('Plan prihoda za unos u SAP'!$G$3:$G$501,'Plan prihoda za unos u SAP'!$C$3:$C$501,"=31",'Plan prihoda za unos u SAP'!$K$3:$K$501,"=725")</f>
        <v>0</v>
      </c>
      <c r="H33" s="189">
        <f>SUMIFS('Plan prihoda za unos u SAP'!$G$3:$G$501,'Plan prihoda za unos u SAP'!$C$3:$C$501,"=41",'Plan prihoda za unos u SAP'!$K$3:$K$501,"=725")</f>
        <v>0</v>
      </c>
      <c r="I33" s="189">
        <f>SUMIFS('Plan prihoda za unos u SAP'!$G$3:$G$501,'Plan prihoda za unos u SAP'!$C$3:$C$501,"=43",'Plan prihoda za unos u SAP'!$K$3:$K$501,"=725")</f>
        <v>0</v>
      </c>
      <c r="J33" s="189">
        <f>SUMIFS('Plan prihoda za unos u SAP'!$G$3:$G$501,'Plan prihoda za unos u SAP'!$C$3:$C$501,"=51",'Plan prihoda za unos u SAP'!$K$3:$K$501,"=725")</f>
        <v>0</v>
      </c>
      <c r="K33" s="189">
        <f>SUMIFS('Plan prihoda za unos u SAP'!$G$3:$G$501,'Plan prihoda za unos u SAP'!$C$3:$C$501,"=52",'Plan prihoda za unos u SAP'!$K$3:$K$501,"=725")</f>
        <v>0</v>
      </c>
      <c r="L33" s="189">
        <f>SUMIFS('Plan prihoda za unos u SAP'!$G$3:$G$501,'Plan prihoda za unos u SAP'!$C$3:$C$501,"=552",'Plan prihoda za unos u SAP'!$K$3:$K$501,"=725")</f>
        <v>0</v>
      </c>
      <c r="M33" s="189">
        <f>SUMIFS('Plan prihoda za unos u SAP'!$G$3:$G$501,'Plan prihoda za unos u SAP'!$C$3:$C$501,"=559",'Plan prihoda za unos u SAP'!$K$3:$K$501,"=725")</f>
        <v>0</v>
      </c>
      <c r="N33" s="189">
        <f>SUMIFS('Plan prihoda za unos u SAP'!$G$3:$G$501,'Plan prihoda za unos u SAP'!$C$3:$C$501,"=561",'Plan prihoda za unos u SAP'!$K$3:$K$501,"=725")</f>
        <v>0</v>
      </c>
      <c r="O33" s="189">
        <f>SUMIFS('Plan prihoda za unos u SAP'!$G$3:$G$501,'Plan prihoda za unos u SAP'!$C$3:$C$501,"=563",'Plan prihoda za unos u SAP'!$K$3:$K$501,"=725")</f>
        <v>0</v>
      </c>
      <c r="P33" s="189">
        <f>SUMIFS('Plan prihoda za unos u SAP'!$G$3:$G$501,'Plan prihoda za unos u SAP'!$C$3:$C$501,"=573",'Plan prihoda za unos u SAP'!$K$3:$K$501,"=725")</f>
        <v>0</v>
      </c>
      <c r="Q33" s="189">
        <f>SUMIFS('Plan prihoda za unos u SAP'!$G$3:$G$501,'Plan prihoda za unos u SAP'!$C$3:$C$501,"=575",'Plan prihoda za unos u SAP'!$K$3:$K$501,"=725")</f>
        <v>0</v>
      </c>
      <c r="R33" s="189">
        <f>SUMIFS('Plan prihoda za unos u SAP'!$G$3:$G$501,'Plan prihoda za unos u SAP'!$C$3:$C$501,"=576",'Plan prihoda za unos u SAP'!$K$3:$K$501,"=725")</f>
        <v>0</v>
      </c>
      <c r="S33" s="189">
        <f>SUMIFS('Plan prihoda za unos u SAP'!$G$3:$G$501,'Plan prihoda za unos u SAP'!$C$3:$C$501,"=61",'Plan prihoda za unos u SAP'!$K$3:$K$501,"=725")</f>
        <v>0</v>
      </c>
      <c r="T33" s="189">
        <f>SUMIFS('Plan prihoda za unos u SAP'!$G$3:$G$501,'Plan prihoda za unos u SAP'!$C$3:$C$501,"=63",'Plan prihoda za unos u SAP'!$K$3:$K$501,"=725")</f>
        <v>0</v>
      </c>
      <c r="U33" s="189">
        <f>SUMIFS('Plan prihoda za unos u SAP'!$G$3:$G$501,'Plan prihoda za unos u SAP'!$C$3:$C$501,"=71",'Plan prihoda za unos u SAP'!$K$3:$K$501,"=725")</f>
        <v>0</v>
      </c>
      <c r="V33" s="189">
        <f>SUMIFS('Plan prihoda za unos u SAP'!$G$3:$G$501,'Plan prihoda za unos u SAP'!$C$3:$C$501,"=81",'Plan prihoda za unos u SAP'!$K$3:$K$501,"=725")</f>
        <v>0</v>
      </c>
      <c r="W33" s="189">
        <f>SUMIFS('Plan prihoda za unos u SAP'!$G$3:$G$501,'Plan prihoda za unos u SAP'!$C$3:$C$501,"=83",'Plan prihoda za unos u SAP'!$K$3:$K$501,"=725")</f>
        <v>0</v>
      </c>
    </row>
    <row r="34" spans="1:29" s="90" customFormat="1">
      <c r="A34" s="90">
        <v>2021</v>
      </c>
      <c r="B34" s="98" t="s">
        <v>313</v>
      </c>
      <c r="C34" s="99" t="s">
        <v>306</v>
      </c>
      <c r="D34" s="70">
        <f t="shared" si="1"/>
        <v>0</v>
      </c>
      <c r="E34" s="4">
        <f t="shared" ref="E34:V34" si="6">SUM(E28:E33)</f>
        <v>0</v>
      </c>
      <c r="F34" s="4">
        <f t="shared" si="6"/>
        <v>0</v>
      </c>
      <c r="G34" s="4">
        <f t="shared" si="6"/>
        <v>0</v>
      </c>
      <c r="H34" s="4">
        <f>SUM(H28:H33)</f>
        <v>0</v>
      </c>
      <c r="I34" s="4">
        <f t="shared" si="6"/>
        <v>0</v>
      </c>
      <c r="J34" s="4">
        <f t="shared" si="6"/>
        <v>0</v>
      </c>
      <c r="K34" s="4">
        <f t="shared" si="6"/>
        <v>0</v>
      </c>
      <c r="L34" s="4">
        <f>SUM(L28:L33)</f>
        <v>0</v>
      </c>
      <c r="M34" s="4">
        <f t="shared" si="6"/>
        <v>0</v>
      </c>
      <c r="N34" s="4">
        <f t="shared" si="6"/>
        <v>0</v>
      </c>
      <c r="O34" s="4">
        <f t="shared" si="6"/>
        <v>0</v>
      </c>
      <c r="P34" s="4">
        <f>SUM(P28:P33)</f>
        <v>0</v>
      </c>
      <c r="Q34" s="4">
        <f>SUM(Q28:Q33)</f>
        <v>0</v>
      </c>
      <c r="R34" s="4">
        <f>SUM(R28:R33)</f>
        <v>0</v>
      </c>
      <c r="S34" s="4">
        <f t="shared" si="6"/>
        <v>0</v>
      </c>
      <c r="T34" s="4">
        <f t="shared" si="6"/>
        <v>0</v>
      </c>
      <c r="U34" s="4">
        <f t="shared" si="6"/>
        <v>0</v>
      </c>
      <c r="V34" s="4">
        <f t="shared" si="6"/>
        <v>0</v>
      </c>
      <c r="W34" s="4">
        <f>SUM(W28:W33)</f>
        <v>0</v>
      </c>
    </row>
    <row r="35" spans="1:29" s="90" customFormat="1" ht="25.5">
      <c r="A35" s="90">
        <v>2021</v>
      </c>
      <c r="B35" s="101">
        <v>812</v>
      </c>
      <c r="C35" s="102" t="s">
        <v>314</v>
      </c>
      <c r="D35" s="70">
        <f t="shared" si="1"/>
        <v>0</v>
      </c>
      <c r="E35" s="189">
        <f>SUMIFS('Plan prihoda za unos u SAP'!$G$3:$G$501,'Plan prihoda za unos u SAP'!$C$3:$C$501,"=11",'Plan prihoda za unos u SAP'!$K$3:$K$501,"=812")</f>
        <v>0</v>
      </c>
      <c r="F35" s="189">
        <f>SUMIFS('Plan prihoda za unos u SAP'!$G$3:$G$501,'Plan prihoda za unos u SAP'!$C$3:$C$501,"=12",'Plan prihoda za unos u SAP'!$K$3:$K$501,"=812")</f>
        <v>0</v>
      </c>
      <c r="G35" s="189">
        <f>SUMIFS('Plan prihoda za unos u SAP'!$G$3:$G$501,'Plan prihoda za unos u SAP'!$C$3:$C$501,"=31",'Plan prihoda za unos u SAP'!$K$3:$K$501,"=812")</f>
        <v>0</v>
      </c>
      <c r="H35" s="189">
        <f>SUMIFS('Plan prihoda za unos u SAP'!$G$3:$G$501,'Plan prihoda za unos u SAP'!$C$3:$C$501,"=41",'Plan prihoda za unos u SAP'!$K$3:$K$501,"=812")</f>
        <v>0</v>
      </c>
      <c r="I35" s="189">
        <f>SUMIFS('Plan prihoda za unos u SAP'!$G$3:$G$501,'Plan prihoda za unos u SAP'!$C$3:$C$501,"=43",'Plan prihoda za unos u SAP'!$K$3:$K$501,"=812")</f>
        <v>0</v>
      </c>
      <c r="J35" s="189">
        <f>SUMIFS('Plan prihoda za unos u SAP'!$G$3:$G$501,'Plan prihoda za unos u SAP'!$C$3:$C$501,"=51",'Plan prihoda za unos u SAP'!$K$3:$K$501,"=812")</f>
        <v>0</v>
      </c>
      <c r="K35" s="189">
        <f>SUMIFS('Plan prihoda za unos u SAP'!$G$3:$G$501,'Plan prihoda za unos u SAP'!$C$3:$C$501,"=52",'Plan prihoda za unos u SAP'!$K$3:$K$501,"=812")</f>
        <v>0</v>
      </c>
      <c r="L35" s="189">
        <f>SUMIFS('Plan prihoda za unos u SAP'!$G$3:$G$501,'Plan prihoda za unos u SAP'!$C$3:$C$501,"=552",'Plan prihoda za unos u SAP'!$K$3:$K$501,"=812")</f>
        <v>0</v>
      </c>
      <c r="M35" s="189">
        <f>SUMIFS('Plan prihoda za unos u SAP'!$G$3:$G$501,'Plan prihoda za unos u SAP'!$C$3:$C$501,"=559",'Plan prihoda za unos u SAP'!$K$3:$K$501,"=812")</f>
        <v>0</v>
      </c>
      <c r="N35" s="189">
        <f>SUMIFS('Plan prihoda za unos u SAP'!$G$3:$G$501,'Plan prihoda za unos u SAP'!$C$3:$C$501,"=561",'Plan prihoda za unos u SAP'!$K$3:$K$501,"=812")</f>
        <v>0</v>
      </c>
      <c r="O35" s="189">
        <f>SUMIFS('Plan prihoda za unos u SAP'!$G$3:$G$501,'Plan prihoda za unos u SAP'!$C$3:$C$501,"=563",'Plan prihoda za unos u SAP'!$K$3:$K$501,"=812")</f>
        <v>0</v>
      </c>
      <c r="P35" s="189">
        <f>SUMIFS('Plan prihoda za unos u SAP'!$G$3:$G$501,'Plan prihoda za unos u SAP'!$C$3:$C$501,"=573",'Plan prihoda za unos u SAP'!$K$3:$K$501,"=812")</f>
        <v>0</v>
      </c>
      <c r="Q35" s="189">
        <f>SUMIFS('Plan prihoda za unos u SAP'!$G$3:$G$501,'Plan prihoda za unos u SAP'!$C$3:$C$501,"=575",'Plan prihoda za unos u SAP'!$K$3:$K$501,"=812")</f>
        <v>0</v>
      </c>
      <c r="R35" s="189">
        <f>SUMIFS('Plan prihoda za unos u SAP'!$G$3:$G$501,'Plan prihoda za unos u SAP'!$C$3:$C$501,"=576",'Plan prihoda za unos u SAP'!$K$3:$K$501,"=812")</f>
        <v>0</v>
      </c>
      <c r="S35" s="189">
        <f>SUMIFS('Plan prihoda za unos u SAP'!$G$3:$G$501,'Plan prihoda za unos u SAP'!$C$3:$C$501,"=61",'Plan prihoda za unos u SAP'!$K$3:$K$501,"=812")</f>
        <v>0</v>
      </c>
      <c r="T35" s="189">
        <f>SUMIFS('Plan prihoda za unos u SAP'!$G$3:$G$501,'Plan prihoda za unos u SAP'!$C$3:$C$501,"=63",'Plan prihoda za unos u SAP'!$K$3:$K$501,"=812")</f>
        <v>0</v>
      </c>
      <c r="U35" s="189">
        <f>SUMIFS('Plan prihoda za unos u SAP'!$G$3:$G$501,'Plan prihoda za unos u SAP'!$C$3:$C$501,"=71",'Plan prihoda za unos u SAP'!$K$3:$K$501,"=812")</f>
        <v>0</v>
      </c>
      <c r="V35" s="189">
        <f>SUMIFS('Plan prihoda za unos u SAP'!$G$3:$G$501,'Plan prihoda za unos u SAP'!$C$3:$C$501,"=81",'Plan prihoda za unos u SAP'!$K$3:$K$501,"=812")</f>
        <v>0</v>
      </c>
      <c r="W35" s="189">
        <f>SUMIFS('Plan prihoda za unos u SAP'!$G$3:$G$501,'Plan prihoda za unos u SAP'!$C$3:$C$501,"=83",'Plan prihoda za unos u SAP'!$K$3:$K$501,"=812")</f>
        <v>0</v>
      </c>
    </row>
    <row r="36" spans="1:29" s="90" customFormat="1">
      <c r="A36" s="90">
        <v>2021</v>
      </c>
      <c r="B36" s="101">
        <v>818</v>
      </c>
      <c r="C36" s="102" t="s">
        <v>1567</v>
      </c>
      <c r="D36" s="70">
        <f t="shared" si="1"/>
        <v>0</v>
      </c>
      <c r="E36" s="189">
        <f>SUMIFS('Plan prihoda za unos u SAP'!$G$3:$G$501,'Plan prihoda za unos u SAP'!$C$3:$C$501,"=11",'Plan prihoda za unos u SAP'!$K$3:$K$501,"=818")</f>
        <v>0</v>
      </c>
      <c r="F36" s="189">
        <f>SUMIFS('Plan prihoda za unos u SAP'!$G$3:$G$501,'Plan prihoda za unos u SAP'!$C$3:$C$501,"=12",'Plan prihoda za unos u SAP'!$K$3:$K$501,"=818")</f>
        <v>0</v>
      </c>
      <c r="G36" s="189">
        <f>SUMIFS('Plan prihoda za unos u SAP'!$G$3:$G$501,'Plan prihoda za unos u SAP'!$C$3:$C$501,"=31",'Plan prihoda za unos u SAP'!$K$3:$K$501,"=818")</f>
        <v>0</v>
      </c>
      <c r="H36" s="189">
        <f>SUMIFS('Plan prihoda za unos u SAP'!$G$3:$G$501,'Plan prihoda za unos u SAP'!$C$3:$C$501,"=41",'Plan prihoda za unos u SAP'!$K$3:$K$501,"=818")</f>
        <v>0</v>
      </c>
      <c r="I36" s="189">
        <f>SUMIFS('Plan prihoda za unos u SAP'!$G$3:$G$501,'Plan prihoda za unos u SAP'!$C$3:$C$501,"=43",'Plan prihoda za unos u SAP'!$K$3:$K$501,"=818")</f>
        <v>0</v>
      </c>
      <c r="J36" s="189">
        <f>SUMIFS('Plan prihoda za unos u SAP'!$G$3:$G$501,'Plan prihoda za unos u SAP'!$C$3:$C$501,"=51",'Plan prihoda za unos u SAP'!$K$3:$K$501,"=818")</f>
        <v>0</v>
      </c>
      <c r="K36" s="189">
        <f>SUMIFS('Plan prihoda za unos u SAP'!$G$3:$G$501,'Plan prihoda za unos u SAP'!$C$3:$C$501,"=52",'Plan prihoda za unos u SAP'!$K$3:$K$501,"=818")</f>
        <v>0</v>
      </c>
      <c r="L36" s="189">
        <f>SUMIFS('Plan prihoda za unos u SAP'!$G$3:$G$501,'Plan prihoda za unos u SAP'!$C$3:$C$501,"=552",'Plan prihoda za unos u SAP'!$K$3:$K$501,"=818")</f>
        <v>0</v>
      </c>
      <c r="M36" s="189">
        <f>SUMIFS('Plan prihoda za unos u SAP'!$G$3:$G$501,'Plan prihoda za unos u SAP'!$C$3:$C$501,"=559",'Plan prihoda za unos u SAP'!$K$3:$K$501,"=818")</f>
        <v>0</v>
      </c>
      <c r="N36" s="189">
        <f>SUMIFS('Plan prihoda za unos u SAP'!$G$3:$G$501,'Plan prihoda za unos u SAP'!$C$3:$C$501,"=561",'Plan prihoda za unos u SAP'!$K$3:$K$501,"=818")</f>
        <v>0</v>
      </c>
      <c r="O36" s="189">
        <f>SUMIFS('Plan prihoda za unos u SAP'!$G$3:$G$501,'Plan prihoda za unos u SAP'!$C$3:$C$501,"=563",'Plan prihoda za unos u SAP'!$K$3:$K$501,"=818")</f>
        <v>0</v>
      </c>
      <c r="P36" s="189">
        <f>SUMIFS('Plan prihoda za unos u SAP'!$G$3:$G$501,'Plan prihoda za unos u SAP'!$C$3:$C$501,"=573",'Plan prihoda za unos u SAP'!$K$3:$K$501,"=818")</f>
        <v>0</v>
      </c>
      <c r="Q36" s="189">
        <f>SUMIFS('Plan prihoda za unos u SAP'!$G$3:$G$501,'Plan prihoda za unos u SAP'!$C$3:$C$501,"=575",'Plan prihoda za unos u SAP'!$K$3:$K$501,"=818")</f>
        <v>0</v>
      </c>
      <c r="R36" s="189">
        <f>SUMIFS('Plan prihoda za unos u SAP'!$G$3:$G$501,'Plan prihoda za unos u SAP'!$C$3:$C$501,"=576",'Plan prihoda za unos u SAP'!$K$3:$K$501,"=818")</f>
        <v>0</v>
      </c>
      <c r="S36" s="189">
        <f>SUMIFS('Plan prihoda za unos u SAP'!$G$3:$G$501,'Plan prihoda za unos u SAP'!$C$3:$C$501,"=61",'Plan prihoda za unos u SAP'!$K$3:$K$501,"=818")</f>
        <v>0</v>
      </c>
      <c r="T36" s="189">
        <f>SUMIFS('Plan prihoda za unos u SAP'!$G$3:$G$501,'Plan prihoda za unos u SAP'!$C$3:$C$501,"=63",'Plan prihoda za unos u SAP'!$K$3:$K$501,"=818")</f>
        <v>0</v>
      </c>
      <c r="U36" s="189">
        <f>SUMIFS('Plan prihoda za unos u SAP'!$G$3:$G$501,'Plan prihoda za unos u SAP'!$C$3:$C$501,"=71",'Plan prihoda za unos u SAP'!$K$3:$K$501,"=818")</f>
        <v>0</v>
      </c>
      <c r="V36" s="189">
        <f>SUMIFS('Plan prihoda za unos u SAP'!$G$3:$G$501,'Plan prihoda za unos u SAP'!$C$3:$C$501,"=81",'Plan prihoda za unos u SAP'!$K$3:$K$501,"=818")</f>
        <v>0</v>
      </c>
      <c r="W36" s="189">
        <f>SUMIFS('Plan prihoda za unos u SAP'!$G$3:$G$501,'Plan prihoda za unos u SAP'!$C$3:$C$501,"=83",'Plan prihoda za unos u SAP'!$K$3:$K$501,"=818")</f>
        <v>0</v>
      </c>
    </row>
    <row r="37" spans="1:29" s="90" customFormat="1">
      <c r="A37" s="90">
        <v>2021</v>
      </c>
      <c r="B37" s="101">
        <v>832</v>
      </c>
      <c r="C37" s="102" t="s">
        <v>1568</v>
      </c>
      <c r="D37" s="70">
        <f t="shared" si="1"/>
        <v>0</v>
      </c>
      <c r="E37" s="189">
        <f>SUMIFS('Plan prihoda za unos u SAP'!$G$3:$G$501,'Plan prihoda za unos u SAP'!$C$3:$C$501,"=11",'Plan prihoda za unos u SAP'!$K$3:$K$501,"=832")</f>
        <v>0</v>
      </c>
      <c r="F37" s="189">
        <f>SUMIFS('Plan prihoda za unos u SAP'!$G$3:$G$501,'Plan prihoda za unos u SAP'!$C$3:$C$501,"=12",'Plan prihoda za unos u SAP'!$K$3:$K$501,"=832")</f>
        <v>0</v>
      </c>
      <c r="G37" s="189">
        <f>SUMIFS('Plan prihoda za unos u SAP'!$G$3:$G$501,'Plan prihoda za unos u SAP'!$C$3:$C$501,"=31",'Plan prihoda za unos u SAP'!$K$3:$K$501,"=832")</f>
        <v>0</v>
      </c>
      <c r="H37" s="189">
        <f>SUMIFS('Plan prihoda za unos u SAP'!$G$3:$G$501,'Plan prihoda za unos u SAP'!$C$3:$C$501,"=41",'Plan prihoda za unos u SAP'!$K$3:$K$501,"=832")</f>
        <v>0</v>
      </c>
      <c r="I37" s="189">
        <f>SUMIFS('Plan prihoda za unos u SAP'!$G$3:$G$501,'Plan prihoda za unos u SAP'!$C$3:$C$501,"=43",'Plan prihoda za unos u SAP'!$K$3:$K$501,"=832")</f>
        <v>0</v>
      </c>
      <c r="J37" s="189">
        <f>SUMIFS('Plan prihoda za unos u SAP'!$G$3:$G$501,'Plan prihoda za unos u SAP'!$C$3:$C$501,"=51",'Plan prihoda za unos u SAP'!$K$3:$K$501,"=832")</f>
        <v>0</v>
      </c>
      <c r="K37" s="189">
        <f>SUMIFS('Plan prihoda za unos u SAP'!$G$3:$G$501,'Plan prihoda za unos u SAP'!$C$3:$C$501,"=52",'Plan prihoda za unos u SAP'!$K$3:$K$501,"=832")</f>
        <v>0</v>
      </c>
      <c r="L37" s="189">
        <f>SUMIFS('Plan prihoda za unos u SAP'!$G$3:$G$501,'Plan prihoda za unos u SAP'!$C$3:$C$501,"=552",'Plan prihoda za unos u SAP'!$K$3:$K$501,"=832")</f>
        <v>0</v>
      </c>
      <c r="M37" s="189">
        <f>SUMIFS('Plan prihoda za unos u SAP'!$G$3:$G$501,'Plan prihoda za unos u SAP'!$C$3:$C$501,"=559",'Plan prihoda za unos u SAP'!$K$3:$K$501,"=832")</f>
        <v>0</v>
      </c>
      <c r="N37" s="189">
        <f>SUMIFS('Plan prihoda za unos u SAP'!$G$3:$G$501,'Plan prihoda za unos u SAP'!$C$3:$C$501,"=561",'Plan prihoda za unos u SAP'!$K$3:$K$501,"=832")</f>
        <v>0</v>
      </c>
      <c r="O37" s="189">
        <f>SUMIFS('Plan prihoda za unos u SAP'!$G$3:$G$501,'Plan prihoda za unos u SAP'!$C$3:$C$501,"=563",'Plan prihoda za unos u SAP'!$K$3:$K$501,"=832")</f>
        <v>0</v>
      </c>
      <c r="P37" s="189">
        <f>SUMIFS('Plan prihoda za unos u SAP'!$G$3:$G$501,'Plan prihoda za unos u SAP'!$C$3:$C$501,"=573",'Plan prihoda za unos u SAP'!$K$3:$K$501,"=832")</f>
        <v>0</v>
      </c>
      <c r="Q37" s="189">
        <f>SUMIFS('Plan prihoda za unos u SAP'!$G$3:$G$501,'Plan prihoda za unos u SAP'!$C$3:$C$501,"=575",'Plan prihoda za unos u SAP'!$K$3:$K$501,"=832")</f>
        <v>0</v>
      </c>
      <c r="R37" s="189">
        <f>SUMIFS('Plan prihoda za unos u SAP'!$G$3:$G$501,'Plan prihoda za unos u SAP'!$C$3:$C$501,"=576",'Plan prihoda za unos u SAP'!$K$3:$K$501,"=832")</f>
        <v>0</v>
      </c>
      <c r="S37" s="189">
        <f>SUMIFS('Plan prihoda za unos u SAP'!$G$3:$G$501,'Plan prihoda za unos u SAP'!$C$3:$C$501,"=61",'Plan prihoda za unos u SAP'!$K$3:$K$501,"=832")</f>
        <v>0</v>
      </c>
      <c r="T37" s="189">
        <f>SUMIFS('Plan prihoda za unos u SAP'!$G$3:$G$501,'Plan prihoda za unos u SAP'!$C$3:$C$501,"=63",'Plan prihoda za unos u SAP'!$K$3:$K$501,"=832")</f>
        <v>0</v>
      </c>
      <c r="U37" s="189">
        <f>SUMIFS('Plan prihoda za unos u SAP'!$G$3:$G$501,'Plan prihoda za unos u SAP'!$C$3:$C$501,"=71",'Plan prihoda za unos u SAP'!$K$3:$K$501,"=832")</f>
        <v>0</v>
      </c>
      <c r="V37" s="189">
        <f>SUMIFS('Plan prihoda za unos u SAP'!$G$3:$G$501,'Plan prihoda za unos u SAP'!$C$3:$C$501,"=81",'Plan prihoda za unos u SAP'!$K$3:$K$501,"=832")</f>
        <v>0</v>
      </c>
      <c r="W37" s="189">
        <f>SUMIFS('Plan prihoda za unos u SAP'!$G$3:$G$501,'Plan prihoda za unos u SAP'!$C$3:$C$501,"=83",'Plan prihoda za unos u SAP'!$K$3:$K$501,"=832")</f>
        <v>0</v>
      </c>
    </row>
    <row r="38" spans="1:29" s="90" customFormat="1" ht="25.5">
      <c r="A38" s="90">
        <v>2021</v>
      </c>
      <c r="B38" s="277">
        <v>833</v>
      </c>
      <c r="C38" s="102" t="s">
        <v>2136</v>
      </c>
      <c r="D38" s="70">
        <f t="shared" ref="D38" si="7">SUM(E38:W38)</f>
        <v>0</v>
      </c>
      <c r="E38" s="189">
        <f>SUMIFS('Plan prihoda za unos u SAP'!$G$3:$G$501,'Plan prihoda za unos u SAP'!$C$3:$C$501,"=11",'Plan prihoda za unos u SAP'!$K$3:$K$501,"=833")</f>
        <v>0</v>
      </c>
      <c r="F38" s="189">
        <f>SUMIFS('Plan prihoda za unos u SAP'!$G$3:$G$501,'Plan prihoda za unos u SAP'!$C$3:$C$501,"=12",'Plan prihoda za unos u SAP'!$K$3:$K$501,"=833")</f>
        <v>0</v>
      </c>
      <c r="G38" s="189">
        <f>SUMIFS('Plan prihoda za unos u SAP'!$G$3:$G$501,'Plan prihoda za unos u SAP'!$C$3:$C$501,"=31",'Plan prihoda za unos u SAP'!$K$3:$K$501,"=833")</f>
        <v>0</v>
      </c>
      <c r="H38" s="189">
        <f>SUMIFS('Plan prihoda za unos u SAP'!$G$3:$G$501,'Plan prihoda za unos u SAP'!$C$3:$C$501,"=41",'Plan prihoda za unos u SAP'!$K$3:$K$501,"=833")</f>
        <v>0</v>
      </c>
      <c r="I38" s="189">
        <f>SUMIFS('Plan prihoda za unos u SAP'!$G$3:$G$501,'Plan prihoda za unos u SAP'!$C$3:$C$501,"=43",'Plan prihoda za unos u SAP'!$K$3:$K$501,"=833")</f>
        <v>0</v>
      </c>
      <c r="J38" s="189">
        <f>SUMIFS('Plan prihoda za unos u SAP'!$G$3:$G$501,'Plan prihoda za unos u SAP'!$C$3:$C$501,"=51",'Plan prihoda za unos u SAP'!$K$3:$K$501,"=833")</f>
        <v>0</v>
      </c>
      <c r="K38" s="189">
        <f>SUMIFS('Plan prihoda za unos u SAP'!$G$3:$G$501,'Plan prihoda za unos u SAP'!$C$3:$C$501,"=52",'Plan prihoda za unos u SAP'!$K$3:$K$501,"=833")</f>
        <v>0</v>
      </c>
      <c r="L38" s="189">
        <f>SUMIFS('Plan prihoda za unos u SAP'!$G$3:$G$501,'Plan prihoda za unos u SAP'!$C$3:$C$501,"=552",'Plan prihoda za unos u SAP'!$K$3:$K$501,"=833")</f>
        <v>0</v>
      </c>
      <c r="M38" s="189">
        <f>SUMIFS('Plan prihoda za unos u SAP'!$G$3:$G$501,'Plan prihoda za unos u SAP'!$C$3:$C$501,"=559",'Plan prihoda za unos u SAP'!$K$3:$K$501,"=833")</f>
        <v>0</v>
      </c>
      <c r="N38" s="189">
        <f>SUMIFS('Plan prihoda za unos u SAP'!$G$3:$G$501,'Plan prihoda za unos u SAP'!$C$3:$C$501,"=561",'Plan prihoda za unos u SAP'!$K$3:$K$501,"=833")</f>
        <v>0</v>
      </c>
      <c r="O38" s="189">
        <f>SUMIFS('Plan prihoda za unos u SAP'!$G$3:$G$501,'Plan prihoda za unos u SAP'!$C$3:$C$501,"=563",'Plan prihoda za unos u SAP'!$K$3:$K$501,"=833")</f>
        <v>0</v>
      </c>
      <c r="P38" s="189">
        <f>SUMIFS('Plan prihoda za unos u SAP'!$G$3:$G$501,'Plan prihoda za unos u SAP'!$C$3:$C$501,"=573",'Plan prihoda za unos u SAP'!$K$3:$K$501,"=833")</f>
        <v>0</v>
      </c>
      <c r="Q38" s="189">
        <f>SUMIFS('Plan prihoda za unos u SAP'!$G$3:$G$501,'Plan prihoda za unos u SAP'!$C$3:$C$501,"=575",'Plan prihoda za unos u SAP'!$K$3:$K$501,"=833")</f>
        <v>0</v>
      </c>
      <c r="R38" s="189">
        <f>SUMIFS('Plan prihoda za unos u SAP'!$G$3:$G$501,'Plan prihoda za unos u SAP'!$C$3:$C$501,"=576",'Plan prihoda za unos u SAP'!$K$3:$K$501,"=833")</f>
        <v>0</v>
      </c>
      <c r="S38" s="189">
        <f>SUMIFS('Plan prihoda za unos u SAP'!$G$3:$G$501,'Plan prihoda za unos u SAP'!$C$3:$C$501,"=61",'Plan prihoda za unos u SAP'!$K$3:$K$501,"=833")</f>
        <v>0</v>
      </c>
      <c r="T38" s="189">
        <f>SUMIFS('Plan prihoda za unos u SAP'!$G$3:$G$501,'Plan prihoda za unos u SAP'!$C$3:$C$501,"=63",'Plan prihoda za unos u SAP'!$K$3:$K$501,"=833")</f>
        <v>0</v>
      </c>
      <c r="U38" s="189">
        <f>SUMIFS('Plan prihoda za unos u SAP'!$G$3:$G$501,'Plan prihoda za unos u SAP'!$C$3:$C$501,"=71",'Plan prihoda za unos u SAP'!$K$3:$K$501,"=833")</f>
        <v>0</v>
      </c>
      <c r="V38" s="189">
        <f>SUMIFS('Plan prihoda za unos u SAP'!$G$3:$G$501,'Plan prihoda za unos u SAP'!$C$3:$C$501,"=81",'Plan prihoda za unos u SAP'!$K$3:$K$501,"=833")</f>
        <v>0</v>
      </c>
      <c r="W38" s="189">
        <f>SUMIFS('Plan prihoda za unos u SAP'!$G$3:$G$501,'Plan prihoda za unos u SAP'!$C$3:$C$501,"=83",'Plan prihoda za unos u SAP'!$K$3:$K$501,"=833")</f>
        <v>0</v>
      </c>
    </row>
    <row r="39" spans="1:29" s="90" customFormat="1" ht="25.5">
      <c r="A39" s="90">
        <v>2021</v>
      </c>
      <c r="B39" s="101">
        <v>841</v>
      </c>
      <c r="C39" s="102" t="s">
        <v>1569</v>
      </c>
      <c r="D39" s="70">
        <f t="shared" si="1"/>
        <v>0</v>
      </c>
      <c r="E39" s="189">
        <f>SUMIFS('Plan prihoda za unos u SAP'!$G$3:$G$501,'Plan prihoda za unos u SAP'!$C$3:$C$501,"=11",'Plan prihoda za unos u SAP'!$K$3:$K$501,"=841")</f>
        <v>0</v>
      </c>
      <c r="F39" s="189">
        <f>SUMIFS('Plan prihoda za unos u SAP'!$G$3:$G$501,'Plan prihoda za unos u SAP'!$C$3:$C$501,"=12",'Plan prihoda za unos u SAP'!$K$3:$K$501,"=841")</f>
        <v>0</v>
      </c>
      <c r="G39" s="189">
        <f>SUMIFS('Plan prihoda za unos u SAP'!$G$3:$G$501,'Plan prihoda za unos u SAP'!$C$3:$C$501,"=31",'Plan prihoda za unos u SAP'!$K$3:$K$501,"=841")</f>
        <v>0</v>
      </c>
      <c r="H39" s="189">
        <f>SUMIFS('Plan prihoda za unos u SAP'!$G$3:$G$501,'Plan prihoda za unos u SAP'!$C$3:$C$501,"=41",'Plan prihoda za unos u SAP'!$K$3:$K$501,"=841")</f>
        <v>0</v>
      </c>
      <c r="I39" s="189">
        <f>SUMIFS('Plan prihoda za unos u SAP'!$G$3:$G$501,'Plan prihoda za unos u SAP'!$C$3:$C$501,"=43",'Plan prihoda za unos u SAP'!$K$3:$K$501,"=841")</f>
        <v>0</v>
      </c>
      <c r="J39" s="189">
        <f>SUMIFS('Plan prihoda za unos u SAP'!$G$3:$G$501,'Plan prihoda za unos u SAP'!$C$3:$C$501,"=51",'Plan prihoda za unos u SAP'!$K$3:$K$501,"=841")</f>
        <v>0</v>
      </c>
      <c r="K39" s="189">
        <f>SUMIFS('Plan prihoda za unos u SAP'!$G$3:$G$501,'Plan prihoda za unos u SAP'!$C$3:$C$501,"=52",'Plan prihoda za unos u SAP'!$K$3:$K$501,"=841")</f>
        <v>0</v>
      </c>
      <c r="L39" s="189">
        <f>SUMIFS('Plan prihoda za unos u SAP'!$G$3:$G$501,'Plan prihoda za unos u SAP'!$C$3:$C$501,"=552",'Plan prihoda za unos u SAP'!$K$3:$K$501,"=841")</f>
        <v>0</v>
      </c>
      <c r="M39" s="189">
        <f>SUMIFS('Plan prihoda za unos u SAP'!$G$3:$G$501,'Plan prihoda za unos u SAP'!$C$3:$C$501,"=559",'Plan prihoda za unos u SAP'!$K$3:$K$501,"=841")</f>
        <v>0</v>
      </c>
      <c r="N39" s="189">
        <f>SUMIFS('Plan prihoda za unos u SAP'!$G$3:$G$501,'Plan prihoda za unos u SAP'!$C$3:$C$501,"=561",'Plan prihoda za unos u SAP'!$K$3:$K$501,"=841")</f>
        <v>0</v>
      </c>
      <c r="O39" s="189">
        <f>SUMIFS('Plan prihoda za unos u SAP'!$G$3:$G$501,'Plan prihoda za unos u SAP'!$C$3:$C$501,"=563",'Plan prihoda za unos u SAP'!$K$3:$K$501,"=841")</f>
        <v>0</v>
      </c>
      <c r="P39" s="189">
        <f>SUMIFS('Plan prihoda za unos u SAP'!$G$3:$G$501,'Plan prihoda za unos u SAP'!$C$3:$C$501,"=573",'Plan prihoda za unos u SAP'!$K$3:$K$501,"=841")</f>
        <v>0</v>
      </c>
      <c r="Q39" s="189">
        <f>SUMIFS('Plan prihoda za unos u SAP'!$G$3:$G$501,'Plan prihoda za unos u SAP'!$C$3:$C$501,"=575",'Plan prihoda za unos u SAP'!$K$3:$K$501,"=841")</f>
        <v>0</v>
      </c>
      <c r="R39" s="189">
        <f>SUMIFS('Plan prihoda za unos u SAP'!$G$3:$G$501,'Plan prihoda za unos u SAP'!$C$3:$C$501,"=576",'Plan prihoda za unos u SAP'!$K$3:$K$501,"=841")</f>
        <v>0</v>
      </c>
      <c r="S39" s="189">
        <f>SUMIFS('Plan prihoda za unos u SAP'!$G$3:$G$501,'Plan prihoda za unos u SAP'!$C$3:$C$501,"=61",'Plan prihoda za unos u SAP'!$K$3:$K$501,"=841")</f>
        <v>0</v>
      </c>
      <c r="T39" s="189">
        <f>SUMIFS('Plan prihoda za unos u SAP'!$G$3:$G$501,'Plan prihoda za unos u SAP'!$C$3:$C$501,"=63",'Plan prihoda za unos u SAP'!$K$3:$K$501,"=841")</f>
        <v>0</v>
      </c>
      <c r="U39" s="189">
        <f>SUMIFS('Plan prihoda za unos u SAP'!$G$3:$G$501,'Plan prihoda za unos u SAP'!$C$3:$C$501,"=71",'Plan prihoda za unos u SAP'!$K$3:$K$501,"=841")</f>
        <v>0</v>
      </c>
      <c r="V39" s="189">
        <f>SUMIFS('Plan prihoda za unos u SAP'!$G$3:$G$501,'Plan prihoda za unos u SAP'!$C$3:$C$501,"=81",'Plan prihoda za unos u SAP'!$K$3:$K$501,"=841")</f>
        <v>0</v>
      </c>
      <c r="W39" s="189">
        <f>SUMIFS('Plan prihoda za unos u SAP'!$G$3:$G$501,'Plan prihoda za unos u SAP'!$C$3:$C$501,"=83",'Plan prihoda za unos u SAP'!$K$3:$K$501,"=841")</f>
        <v>0</v>
      </c>
    </row>
    <row r="40" spans="1:29" s="90" customFormat="1" ht="25.5">
      <c r="A40" s="90">
        <v>2021</v>
      </c>
      <c r="B40" s="101">
        <v>842</v>
      </c>
      <c r="C40" s="102" t="s">
        <v>324</v>
      </c>
      <c r="D40" s="70">
        <f>SUM(E40:W40)</f>
        <v>0</v>
      </c>
      <c r="E40" s="189">
        <f>SUMIFS('Plan prihoda za unos u SAP'!$G$3:$G$501,'Plan prihoda za unos u SAP'!$C$3:$C$501,"=11",'Plan prihoda za unos u SAP'!$K$3:$K$501,"=842")</f>
        <v>0</v>
      </c>
      <c r="F40" s="189">
        <f>SUMIFS('Plan prihoda za unos u SAP'!$G$3:$G$501,'Plan prihoda za unos u SAP'!$C$3:$C$501,"=12",'Plan prihoda za unos u SAP'!$K$3:$K$501,"=842")</f>
        <v>0</v>
      </c>
      <c r="G40" s="189">
        <f>SUMIFS('Plan prihoda za unos u SAP'!$G$3:$G$501,'Plan prihoda za unos u SAP'!$C$3:$C$501,"=31",'Plan prihoda za unos u SAP'!$K$3:$K$501,"=842")</f>
        <v>0</v>
      </c>
      <c r="H40" s="189">
        <f>SUMIFS('Plan prihoda za unos u SAP'!$G$3:$G$501,'Plan prihoda za unos u SAP'!$C$3:$C$501,"=41",'Plan prihoda za unos u SAP'!$K$3:$K$501,"=842")</f>
        <v>0</v>
      </c>
      <c r="I40" s="189">
        <f>SUMIFS('Plan prihoda za unos u SAP'!$G$3:$G$501,'Plan prihoda za unos u SAP'!$C$3:$C$501,"=43",'Plan prihoda za unos u SAP'!$K$3:$K$501,"=842")</f>
        <v>0</v>
      </c>
      <c r="J40" s="189">
        <f>SUMIFS('Plan prihoda za unos u SAP'!$G$3:$G$501,'Plan prihoda za unos u SAP'!$C$3:$C$501,"=51",'Plan prihoda za unos u SAP'!$K$3:$K$501,"=842")</f>
        <v>0</v>
      </c>
      <c r="K40" s="189">
        <f>SUMIFS('Plan prihoda za unos u SAP'!$G$3:$G$501,'Plan prihoda za unos u SAP'!$C$3:$C$501,"=52",'Plan prihoda za unos u SAP'!$K$3:$K$501,"=842")</f>
        <v>0</v>
      </c>
      <c r="L40" s="189">
        <f>SUMIFS('Plan prihoda za unos u SAP'!$G$3:$G$501,'Plan prihoda za unos u SAP'!$C$3:$C$501,"=552",'Plan prihoda za unos u SAP'!$K$3:$K$501,"=842")</f>
        <v>0</v>
      </c>
      <c r="M40" s="189">
        <f>SUMIFS('Plan prihoda za unos u SAP'!$G$3:$G$501,'Plan prihoda za unos u SAP'!$C$3:$C$501,"=559",'Plan prihoda za unos u SAP'!$K$3:$K$501,"=842")</f>
        <v>0</v>
      </c>
      <c r="N40" s="189">
        <f>SUMIFS('Plan prihoda za unos u SAP'!$G$3:$G$501,'Plan prihoda za unos u SAP'!$C$3:$C$501,"=561",'Plan prihoda za unos u SAP'!$K$3:$K$501,"=842")</f>
        <v>0</v>
      </c>
      <c r="O40" s="189">
        <f>SUMIFS('Plan prihoda za unos u SAP'!$G$3:$G$501,'Plan prihoda za unos u SAP'!$C$3:$C$501,"=563",'Plan prihoda za unos u SAP'!$K$3:$K$501,"=842")</f>
        <v>0</v>
      </c>
      <c r="P40" s="189">
        <f>SUMIFS('Plan prihoda za unos u SAP'!$G$3:$G$501,'Plan prihoda za unos u SAP'!$C$3:$C$501,"=573",'Plan prihoda za unos u SAP'!$K$3:$K$501,"=842")</f>
        <v>0</v>
      </c>
      <c r="Q40" s="189">
        <f>SUMIFS('Plan prihoda za unos u SAP'!$G$3:$G$501,'Plan prihoda za unos u SAP'!$C$3:$C$501,"=575",'Plan prihoda za unos u SAP'!$K$3:$K$501,"=842")</f>
        <v>0</v>
      </c>
      <c r="R40" s="189">
        <f>SUMIFS('Plan prihoda za unos u SAP'!$G$3:$G$501,'Plan prihoda za unos u SAP'!$C$3:$C$501,"=576",'Plan prihoda za unos u SAP'!$K$3:$K$501,"=842")</f>
        <v>0</v>
      </c>
      <c r="S40" s="189">
        <f>SUMIFS('Plan prihoda za unos u SAP'!$G$3:$G$501,'Plan prihoda za unos u SAP'!$C$3:$C$501,"=61",'Plan prihoda za unos u SAP'!$K$3:$K$501,"=842")</f>
        <v>0</v>
      </c>
      <c r="T40" s="189">
        <f>SUMIFS('Plan prihoda za unos u SAP'!$G$3:$G$501,'Plan prihoda za unos u SAP'!$C$3:$C$501,"=63",'Plan prihoda za unos u SAP'!$K$3:$K$501,"=842")</f>
        <v>0</v>
      </c>
      <c r="U40" s="189">
        <f>SUMIFS('Plan prihoda za unos u SAP'!$G$3:$G$501,'Plan prihoda za unos u SAP'!$C$3:$C$501,"=71",'Plan prihoda za unos u SAP'!$K$3:$K$501,"=842")</f>
        <v>0</v>
      </c>
      <c r="V40" s="189">
        <f>SUMIFS('Plan prihoda za unos u SAP'!$G$3:$G$501,'Plan prihoda za unos u SAP'!$C$3:$C$501,"=81",'Plan prihoda za unos u SAP'!$K$3:$K$501,"=842")</f>
        <v>0</v>
      </c>
      <c r="W40" s="189">
        <f>SUMIFS('Plan prihoda za unos u SAP'!$G$3:$G$501,'Plan prihoda za unos u SAP'!$C$3:$C$501,"=83",'Plan prihoda za unos u SAP'!$K$3:$K$501,"=842")</f>
        <v>0</v>
      </c>
    </row>
    <row r="41" spans="1:29" s="90" customFormat="1">
      <c r="A41" s="90">
        <v>2021</v>
      </c>
      <c r="B41" s="98" t="s">
        <v>315</v>
      </c>
      <c r="C41" s="99" t="s">
        <v>306</v>
      </c>
      <c r="D41" s="70">
        <f t="shared" si="1"/>
        <v>0</v>
      </c>
      <c r="E41" s="4">
        <f>SUM(E35:E40)</f>
        <v>0</v>
      </c>
      <c r="F41" s="4">
        <f t="shared" ref="F41:V41" si="8">SUM(F35:F40)</f>
        <v>0</v>
      </c>
      <c r="G41" s="4">
        <f t="shared" si="8"/>
        <v>0</v>
      </c>
      <c r="H41" s="4">
        <f>SUM(H35:H40)</f>
        <v>0</v>
      </c>
      <c r="I41" s="4">
        <f t="shared" si="8"/>
        <v>0</v>
      </c>
      <c r="J41" s="4">
        <f>SUM(J35:J40)</f>
        <v>0</v>
      </c>
      <c r="K41" s="4">
        <f t="shared" si="8"/>
        <v>0</v>
      </c>
      <c r="L41" s="4">
        <f>SUM(L35:L40)</f>
        <v>0</v>
      </c>
      <c r="M41" s="4">
        <f t="shared" si="8"/>
        <v>0</v>
      </c>
      <c r="N41" s="4">
        <f t="shared" si="8"/>
        <v>0</v>
      </c>
      <c r="O41" s="4">
        <f t="shared" si="8"/>
        <v>0</v>
      </c>
      <c r="P41" s="4">
        <f>SUM(P35:P40)</f>
        <v>0</v>
      </c>
      <c r="Q41" s="4">
        <f>SUM(Q35:Q40)</f>
        <v>0</v>
      </c>
      <c r="R41" s="4">
        <f>SUM(R35:R40)</f>
        <v>0</v>
      </c>
      <c r="S41" s="4">
        <f t="shared" si="8"/>
        <v>0</v>
      </c>
      <c r="T41" s="4">
        <f t="shared" si="8"/>
        <v>0</v>
      </c>
      <c r="U41" s="4">
        <f t="shared" si="8"/>
        <v>0</v>
      </c>
      <c r="V41" s="4">
        <f t="shared" si="8"/>
        <v>0</v>
      </c>
      <c r="W41" s="4">
        <f>SUM(W35:W40)</f>
        <v>0</v>
      </c>
    </row>
    <row r="42" spans="1:29" s="90" customFormat="1">
      <c r="A42" s="90">
        <v>2021</v>
      </c>
      <c r="B42" s="326" t="s">
        <v>316</v>
      </c>
      <c r="C42" s="326"/>
      <c r="D42" s="70">
        <f>SUM(E42:W42)</f>
        <v>170730836</v>
      </c>
      <c r="E42" s="71">
        <f>+E41+E34+E27</f>
        <v>153483452</v>
      </c>
      <c r="F42" s="71">
        <f t="shared" ref="F42:U42" si="9">+F41+F34+F27</f>
        <v>0</v>
      </c>
      <c r="G42" s="71">
        <f t="shared" si="9"/>
        <v>9315000</v>
      </c>
      <c r="H42" s="71">
        <f>+H41+H34+H27</f>
        <v>0</v>
      </c>
      <c r="I42" s="71">
        <f t="shared" si="9"/>
        <v>3943010</v>
      </c>
      <c r="J42" s="71">
        <f t="shared" si="9"/>
        <v>3659374</v>
      </c>
      <c r="K42" s="71">
        <f t="shared" si="9"/>
        <v>100000</v>
      </c>
      <c r="L42" s="71">
        <f>+L41+L34+L27</f>
        <v>0</v>
      </c>
      <c r="M42" s="71">
        <f>+M41+M34+M27</f>
        <v>0</v>
      </c>
      <c r="N42" s="71">
        <f t="shared" si="9"/>
        <v>0</v>
      </c>
      <c r="O42" s="71">
        <f t="shared" si="9"/>
        <v>0</v>
      </c>
      <c r="P42" s="71">
        <f>+P41+P34+P27</f>
        <v>0</v>
      </c>
      <c r="Q42" s="71">
        <f>+Q41+Q34+Q27</f>
        <v>0</v>
      </c>
      <c r="R42" s="71">
        <f>+R41+R34+R27</f>
        <v>0</v>
      </c>
      <c r="S42" s="71">
        <f t="shared" si="9"/>
        <v>230000</v>
      </c>
      <c r="T42" s="71">
        <f t="shared" si="9"/>
        <v>0</v>
      </c>
      <c r="U42" s="71">
        <f t="shared" si="9"/>
        <v>0</v>
      </c>
      <c r="V42" s="71">
        <f>+V41+V34+V27</f>
        <v>0</v>
      </c>
      <c r="W42" s="71">
        <f>+W41+W34+W27</f>
        <v>0</v>
      </c>
    </row>
    <row r="43" spans="1:29">
      <c r="B43" s="62"/>
      <c r="C43" s="62"/>
      <c r="D43" s="62"/>
      <c r="E43" s="62"/>
      <c r="F43" s="62"/>
      <c r="G43" s="62"/>
      <c r="H43" s="62"/>
      <c r="I43" s="103"/>
      <c r="J43" s="104"/>
      <c r="K43" s="104"/>
      <c r="L43" s="104"/>
      <c r="M43" s="104"/>
      <c r="N43" s="104"/>
      <c r="O43" s="104"/>
      <c r="P43" s="104"/>
      <c r="Q43" s="104"/>
      <c r="R43" s="104"/>
      <c r="V43" s="91"/>
      <c r="W43" s="91"/>
    </row>
    <row r="44" spans="1:29" s="90" customFormat="1" ht="15.75">
      <c r="B44" s="321" t="s">
        <v>269</v>
      </c>
      <c r="C44" s="322"/>
      <c r="D44" s="323" t="s">
        <v>783</v>
      </c>
      <c r="E44" s="324"/>
      <c r="F44" s="324"/>
      <c r="G44" s="324"/>
      <c r="H44" s="324"/>
      <c r="I44" s="324"/>
      <c r="J44" s="324"/>
      <c r="K44" s="324"/>
      <c r="L44" s="324"/>
      <c r="M44" s="324"/>
      <c r="N44" s="324"/>
      <c r="O44" s="324"/>
      <c r="P44" s="324"/>
      <c r="Q44" s="324"/>
      <c r="R44" s="324"/>
      <c r="S44" s="324"/>
      <c r="T44" s="324"/>
      <c r="U44" s="324"/>
      <c r="V44" s="325"/>
      <c r="W44" s="218"/>
    </row>
    <row r="45" spans="1:29" s="90" customFormat="1" ht="89.25">
      <c r="A45" s="92" t="s">
        <v>2139</v>
      </c>
      <c r="B45" s="92" t="s">
        <v>270</v>
      </c>
      <c r="C45" s="92" t="s">
        <v>271</v>
      </c>
      <c r="D45" s="184" t="s">
        <v>272</v>
      </c>
      <c r="E45" s="219" t="s">
        <v>353</v>
      </c>
      <c r="F45" s="219" t="s">
        <v>325</v>
      </c>
      <c r="G45" s="220" t="s">
        <v>19</v>
      </c>
      <c r="H45" s="220" t="s">
        <v>1560</v>
      </c>
      <c r="I45" s="220" t="s">
        <v>20</v>
      </c>
      <c r="J45" s="220" t="s">
        <v>273</v>
      </c>
      <c r="K45" s="220" t="s">
        <v>274</v>
      </c>
      <c r="L45" s="220" t="s">
        <v>1561</v>
      </c>
      <c r="M45" s="220" t="s">
        <v>275</v>
      </c>
      <c r="N45" s="220" t="s">
        <v>276</v>
      </c>
      <c r="O45" s="220" t="s">
        <v>277</v>
      </c>
      <c r="P45" s="220" t="s">
        <v>1562</v>
      </c>
      <c r="Q45" s="220" t="s">
        <v>1563</v>
      </c>
      <c r="R45" s="220" t="s">
        <v>2133</v>
      </c>
      <c r="S45" s="220" t="s">
        <v>278</v>
      </c>
      <c r="T45" s="93" t="s">
        <v>279</v>
      </c>
      <c r="U45" s="93" t="s">
        <v>317</v>
      </c>
      <c r="V45" s="93" t="s">
        <v>1533</v>
      </c>
      <c r="W45" s="93"/>
    </row>
    <row r="46" spans="1:29" s="90" customFormat="1">
      <c r="A46" s="90">
        <v>2022</v>
      </c>
      <c r="B46" s="95"/>
      <c r="C46" s="96" t="s">
        <v>11</v>
      </c>
      <c r="D46" s="70">
        <f>SUM(E46:W46)</f>
        <v>0</v>
      </c>
      <c r="E46" s="188">
        <f t="shared" ref="E46:W46" si="10">-E7</f>
        <v>0</v>
      </c>
      <c r="F46" s="188">
        <f t="shared" si="10"/>
        <v>0</v>
      </c>
      <c r="G46" s="188">
        <f t="shared" si="10"/>
        <v>0</v>
      </c>
      <c r="H46" s="188">
        <f t="shared" si="10"/>
        <v>0</v>
      </c>
      <c r="I46" s="188">
        <f t="shared" si="10"/>
        <v>0</v>
      </c>
      <c r="J46" s="188">
        <f t="shared" si="10"/>
        <v>0</v>
      </c>
      <c r="K46" s="188">
        <f t="shared" si="10"/>
        <v>0</v>
      </c>
      <c r="L46" s="188">
        <f t="shared" si="10"/>
        <v>0</v>
      </c>
      <c r="M46" s="188">
        <f t="shared" si="10"/>
        <v>0</v>
      </c>
      <c r="N46" s="188">
        <f t="shared" si="10"/>
        <v>0</v>
      </c>
      <c r="O46" s="188">
        <f t="shared" si="10"/>
        <v>0</v>
      </c>
      <c r="P46" s="188">
        <f t="shared" si="10"/>
        <v>0</v>
      </c>
      <c r="Q46" s="188">
        <f t="shared" si="10"/>
        <v>0</v>
      </c>
      <c r="R46" s="188">
        <f t="shared" ref="R46" si="11">-R7</f>
        <v>0</v>
      </c>
      <c r="S46" s="188">
        <f t="shared" si="10"/>
        <v>0</v>
      </c>
      <c r="T46" s="188">
        <f t="shared" si="10"/>
        <v>0</v>
      </c>
      <c r="U46" s="188">
        <f t="shared" si="10"/>
        <v>0</v>
      </c>
      <c r="V46" s="188">
        <f t="shared" si="10"/>
        <v>0</v>
      </c>
      <c r="W46" s="188">
        <f t="shared" si="10"/>
        <v>0</v>
      </c>
      <c r="X46" s="94"/>
      <c r="Y46" s="94"/>
      <c r="Z46" s="94"/>
      <c r="AA46" s="94"/>
      <c r="AB46" s="94"/>
      <c r="AC46" s="94"/>
    </row>
    <row r="47" spans="1:29" s="90" customFormat="1">
      <c r="A47" s="90">
        <v>2022</v>
      </c>
      <c r="B47" s="114"/>
      <c r="C47" s="115" t="s">
        <v>349</v>
      </c>
      <c r="D47" s="70">
        <f t="shared" ref="D47:D80" si="12">SUM(E47:W47)</f>
        <v>175228021</v>
      </c>
      <c r="E47" s="14">
        <f t="shared" ref="E47:V47" si="13">+E68+E75</f>
        <v>156373015</v>
      </c>
      <c r="F47" s="14">
        <f t="shared" si="13"/>
        <v>0</v>
      </c>
      <c r="G47" s="14">
        <f t="shared" si="13"/>
        <v>9835000</v>
      </c>
      <c r="H47" s="14">
        <f>+H68+H75</f>
        <v>0</v>
      </c>
      <c r="I47" s="14">
        <f t="shared" si="13"/>
        <v>5797128</v>
      </c>
      <c r="J47" s="14">
        <f t="shared" si="13"/>
        <v>3007878</v>
      </c>
      <c r="K47" s="14">
        <f t="shared" si="13"/>
        <v>100000</v>
      </c>
      <c r="L47" s="14">
        <f>+L68+L75</f>
        <v>0</v>
      </c>
      <c r="M47" s="14">
        <f t="shared" si="13"/>
        <v>0</v>
      </c>
      <c r="N47" s="14">
        <f t="shared" si="13"/>
        <v>0</v>
      </c>
      <c r="O47" s="14">
        <f t="shared" si="13"/>
        <v>0</v>
      </c>
      <c r="P47" s="14">
        <f>+P68+P75</f>
        <v>0</v>
      </c>
      <c r="Q47" s="14">
        <f>+Q68+Q75</f>
        <v>0</v>
      </c>
      <c r="R47" s="14">
        <f>+R68+R75</f>
        <v>0</v>
      </c>
      <c r="S47" s="14">
        <f t="shared" si="13"/>
        <v>115000</v>
      </c>
      <c r="T47" s="14">
        <f t="shared" si="13"/>
        <v>0</v>
      </c>
      <c r="U47" s="14">
        <f t="shared" si="13"/>
        <v>0</v>
      </c>
      <c r="V47" s="14">
        <f t="shared" si="13"/>
        <v>0</v>
      </c>
      <c r="W47" s="14">
        <f>+W68+W75</f>
        <v>0</v>
      </c>
    </row>
    <row r="48" spans="1:29" s="90" customFormat="1">
      <c r="A48" s="90">
        <v>2022</v>
      </c>
      <c r="B48" s="95"/>
      <c r="C48" s="96" t="s">
        <v>352</v>
      </c>
      <c r="D48" s="70">
        <f>SUM(E48:W48)</f>
        <v>1902872</v>
      </c>
      <c r="E48" s="113"/>
      <c r="F48" s="113"/>
      <c r="G48" s="113"/>
      <c r="H48" s="113"/>
      <c r="I48" s="113">
        <v>1902872</v>
      </c>
      <c r="J48" s="113"/>
      <c r="K48" s="113"/>
      <c r="L48" s="113"/>
      <c r="M48" s="3"/>
      <c r="N48" s="113"/>
      <c r="O48" s="113"/>
      <c r="P48" s="113"/>
      <c r="Q48" s="113"/>
      <c r="R48" s="113"/>
      <c r="S48" s="113"/>
      <c r="T48" s="113"/>
      <c r="U48" s="113"/>
      <c r="V48" s="113"/>
      <c r="W48" s="113"/>
      <c r="X48" s="94"/>
      <c r="Y48" s="94"/>
      <c r="Z48" s="94"/>
      <c r="AA48" s="94"/>
      <c r="AB48" s="94"/>
      <c r="AC48" s="94"/>
    </row>
    <row r="49" spans="1:29" s="90" customFormat="1">
      <c r="A49" s="90">
        <v>2022</v>
      </c>
      <c r="B49" s="114"/>
      <c r="C49" s="115" t="s">
        <v>280</v>
      </c>
      <c r="D49" s="70">
        <f t="shared" si="12"/>
        <v>177130893</v>
      </c>
      <c r="E49" s="14">
        <f>+E46+E47+E48</f>
        <v>156373015</v>
      </c>
      <c r="F49" s="14">
        <f t="shared" ref="F49:V49" si="14">+F46+F47+F48</f>
        <v>0</v>
      </c>
      <c r="G49" s="14">
        <f t="shared" si="14"/>
        <v>9835000</v>
      </c>
      <c r="H49" s="14">
        <f>+H46+H47+H48</f>
        <v>0</v>
      </c>
      <c r="I49" s="14">
        <f t="shared" si="14"/>
        <v>7700000</v>
      </c>
      <c r="J49" s="14">
        <f t="shared" si="14"/>
        <v>3007878</v>
      </c>
      <c r="K49" s="14">
        <f t="shared" si="14"/>
        <v>100000</v>
      </c>
      <c r="L49" s="14">
        <f>+L46+L47+L48</f>
        <v>0</v>
      </c>
      <c r="M49" s="14">
        <f t="shared" si="14"/>
        <v>0</v>
      </c>
      <c r="N49" s="14">
        <f t="shared" si="14"/>
        <v>0</v>
      </c>
      <c r="O49" s="14">
        <f t="shared" si="14"/>
        <v>0</v>
      </c>
      <c r="P49" s="14">
        <f>+P46+P47+P48</f>
        <v>0</v>
      </c>
      <c r="Q49" s="14">
        <f>+Q46+Q47+Q48</f>
        <v>0</v>
      </c>
      <c r="R49" s="14">
        <f>+R46+R47+R48</f>
        <v>0</v>
      </c>
      <c r="S49" s="14">
        <f t="shared" si="14"/>
        <v>115000</v>
      </c>
      <c r="T49" s="14">
        <f t="shared" si="14"/>
        <v>0</v>
      </c>
      <c r="U49" s="14">
        <f t="shared" si="14"/>
        <v>0</v>
      </c>
      <c r="V49" s="14">
        <f t="shared" si="14"/>
        <v>0</v>
      </c>
      <c r="W49" s="14">
        <f>+W46+W47+W48</f>
        <v>0</v>
      </c>
    </row>
    <row r="50" spans="1:29" s="90" customFormat="1">
      <c r="A50" s="90">
        <v>2022</v>
      </c>
      <c r="B50" s="111"/>
      <c r="C50" s="112" t="s">
        <v>235</v>
      </c>
      <c r="D50" s="70">
        <f t="shared" si="12"/>
        <v>177130893</v>
      </c>
      <c r="E50" s="136">
        <f>+'PLAN RASHODA I IZDATAKA'!E71</f>
        <v>156373015</v>
      </c>
      <c r="F50" s="136">
        <f>+'PLAN RASHODA I IZDATAKA'!F71</f>
        <v>0</v>
      </c>
      <c r="G50" s="136">
        <f>+'PLAN RASHODA I IZDATAKA'!G71</f>
        <v>9835000</v>
      </c>
      <c r="H50" s="136">
        <f>+'PLAN RASHODA I IZDATAKA'!H71</f>
        <v>0</v>
      </c>
      <c r="I50" s="136">
        <f>+'PLAN RASHODA I IZDATAKA'!I71</f>
        <v>7700000</v>
      </c>
      <c r="J50" s="136">
        <f>+'PLAN RASHODA I IZDATAKA'!J71</f>
        <v>3007878</v>
      </c>
      <c r="K50" s="136">
        <f>+'PLAN RASHODA I IZDATAKA'!K71</f>
        <v>100000</v>
      </c>
      <c r="L50" s="136">
        <f>+'PLAN RASHODA I IZDATAKA'!L71</f>
        <v>0</v>
      </c>
      <c r="M50" s="136">
        <f>+'PLAN RASHODA I IZDATAKA'!M71</f>
        <v>0</v>
      </c>
      <c r="N50" s="136">
        <f>+'PLAN RASHODA I IZDATAKA'!N71</f>
        <v>0</v>
      </c>
      <c r="O50" s="136">
        <f>+'PLAN RASHODA I IZDATAKA'!O71</f>
        <v>0</v>
      </c>
      <c r="P50" s="136">
        <f>+'PLAN RASHODA I IZDATAKA'!P71</f>
        <v>0</v>
      </c>
      <c r="Q50" s="136">
        <f>+'PLAN RASHODA I IZDATAKA'!Q71</f>
        <v>0</v>
      </c>
      <c r="R50" s="136">
        <f>+'PLAN RASHODA I IZDATAKA'!R71</f>
        <v>0</v>
      </c>
      <c r="S50" s="136">
        <f>+'PLAN RASHODA I IZDATAKA'!S71</f>
        <v>115000</v>
      </c>
      <c r="T50" s="136">
        <f>+'PLAN RASHODA I IZDATAKA'!T71</f>
        <v>0</v>
      </c>
      <c r="U50" s="136">
        <f>+'PLAN RASHODA I IZDATAKA'!U71</f>
        <v>0</v>
      </c>
      <c r="V50" s="136">
        <f>+'PLAN RASHODA I IZDATAKA'!V71</f>
        <v>0</v>
      </c>
      <c r="W50" s="136">
        <f>+'PLAN RASHODA I IZDATAKA'!W71</f>
        <v>0</v>
      </c>
      <c r="X50" s="94"/>
      <c r="Y50" s="94"/>
      <c r="Z50" s="94"/>
      <c r="AA50" s="94"/>
      <c r="AB50" s="94"/>
      <c r="AC50" s="94"/>
    </row>
    <row r="51" spans="1:29" s="90" customFormat="1" ht="13.5" thickBot="1">
      <c r="A51" s="90">
        <v>2022</v>
      </c>
      <c r="B51" s="116"/>
      <c r="C51" s="117" t="s">
        <v>351</v>
      </c>
      <c r="D51" s="69">
        <f t="shared" si="12"/>
        <v>0</v>
      </c>
      <c r="E51" s="118">
        <f>+E49-E50</f>
        <v>0</v>
      </c>
      <c r="F51" s="118">
        <f t="shared" ref="F51:V51" si="15">+F49-F50</f>
        <v>0</v>
      </c>
      <c r="G51" s="118">
        <f t="shared" si="15"/>
        <v>0</v>
      </c>
      <c r="H51" s="118">
        <f>+H49-H50</f>
        <v>0</v>
      </c>
      <c r="I51" s="118">
        <f t="shared" si="15"/>
        <v>0</v>
      </c>
      <c r="J51" s="118">
        <f t="shared" si="15"/>
        <v>0</v>
      </c>
      <c r="K51" s="118">
        <f t="shared" si="15"/>
        <v>0</v>
      </c>
      <c r="L51" s="118">
        <f>+L49-L50</f>
        <v>0</v>
      </c>
      <c r="M51" s="118">
        <f t="shared" si="15"/>
        <v>0</v>
      </c>
      <c r="N51" s="118">
        <f t="shared" si="15"/>
        <v>0</v>
      </c>
      <c r="O51" s="118">
        <f t="shared" si="15"/>
        <v>0</v>
      </c>
      <c r="P51" s="118">
        <f>+P49-P50</f>
        <v>0</v>
      </c>
      <c r="Q51" s="118">
        <f>+Q49-Q50</f>
        <v>0</v>
      </c>
      <c r="R51" s="118">
        <f>+R49-R50</f>
        <v>0</v>
      </c>
      <c r="S51" s="118">
        <f t="shared" si="15"/>
        <v>0</v>
      </c>
      <c r="T51" s="118">
        <f t="shared" si="15"/>
        <v>0</v>
      </c>
      <c r="U51" s="118">
        <f t="shared" si="15"/>
        <v>0</v>
      </c>
      <c r="V51" s="118">
        <f t="shared" si="15"/>
        <v>0</v>
      </c>
      <c r="W51" s="118">
        <f>+W49-W50</f>
        <v>0</v>
      </c>
    </row>
    <row r="52" spans="1:29" s="90" customFormat="1">
      <c r="A52" s="90">
        <v>2022</v>
      </c>
      <c r="B52" s="97" t="s">
        <v>1565</v>
      </c>
      <c r="C52" s="110" t="s">
        <v>1566</v>
      </c>
      <c r="D52" s="70">
        <f>SUM(E52:W52)</f>
        <v>0</v>
      </c>
      <c r="E52" s="189">
        <f>SUMIFS('Plan prihoda za unos u SAP'!$H$3:$H$501,'Plan prihoda za unos u SAP'!$C$3:$C$501,"=11",'Plan prihoda za unos u SAP'!$K$3:$K$501,"=614")</f>
        <v>0</v>
      </c>
      <c r="F52" s="189">
        <f>SUMIFS('Plan prihoda za unos u SAP'!$H$3:$H$501,'Plan prihoda za unos u SAP'!$C$3:$C$501,"=12",'Plan prihoda za unos u SAP'!$K$3:$K$501,"=614")</f>
        <v>0</v>
      </c>
      <c r="G52" s="189">
        <f>SUMIFS('Plan prihoda za unos u SAP'!$H$3:$H$501,'Plan prihoda za unos u SAP'!$C$3:$C$501,"=31",'Plan prihoda za unos u SAP'!$K$3:$K$501,"=614")</f>
        <v>0</v>
      </c>
      <c r="H52" s="189">
        <f>SUMIFS('Plan prihoda za unos u SAP'!$H$3:$H$501,'Plan prihoda za unos u SAP'!$C$3:$C$501,"=41",'Plan prihoda za unos u SAP'!$K$3:$K$501,"=614")</f>
        <v>0</v>
      </c>
      <c r="I52" s="189">
        <f>SUMIFS('Plan prihoda za unos u SAP'!$H$3:$H$501,'Plan prihoda za unos u SAP'!$C$3:$C$501,"=43",'Plan prihoda za unos u SAP'!$K$3:$K$501,"=614")</f>
        <v>0</v>
      </c>
      <c r="J52" s="189">
        <f>SUMIFS('Plan prihoda za unos u SAP'!$H$3:$H$501,'Plan prihoda za unos u SAP'!$C$3:$C$501,"=51",'Plan prihoda za unos u SAP'!$K$3:$K$501,"=614")</f>
        <v>0</v>
      </c>
      <c r="K52" s="189">
        <f>SUMIFS('Plan prihoda za unos u SAP'!$H$3:$H$501,'Plan prihoda za unos u SAP'!$C$3:$C$501,"=52",'Plan prihoda za unos u SAP'!$K$3:$K$501,"=614")</f>
        <v>0</v>
      </c>
      <c r="L52" s="189">
        <f>SUMIFS('Plan prihoda za unos u SAP'!$H$3:$H$501,'Plan prihoda za unos u SAP'!$C$3:$C$501,"=552",'Plan prihoda za unos u SAP'!$K$3:$K$501,"=614")</f>
        <v>0</v>
      </c>
      <c r="M52" s="189">
        <f>SUMIFS('Plan prihoda za unos u SAP'!$H$3:$H$501,'Plan prihoda za unos u SAP'!$C$3:$C$501,"=559",'Plan prihoda za unos u SAP'!$K$3:$K$501,"=614")</f>
        <v>0</v>
      </c>
      <c r="N52" s="189">
        <f>SUMIFS('Plan prihoda za unos u SAP'!$H$3:$H$501,'Plan prihoda za unos u SAP'!$C$3:$C$501,"=561",'Plan prihoda za unos u SAP'!$K$3:$K$501,"=614")</f>
        <v>0</v>
      </c>
      <c r="O52" s="189">
        <f>SUMIFS('Plan prihoda za unos u SAP'!$H$3:$H$501,'Plan prihoda za unos u SAP'!$C$3:$C$501,"=563",'Plan prihoda za unos u SAP'!$K$3:$K$501,"=614")</f>
        <v>0</v>
      </c>
      <c r="P52" s="189">
        <f>SUMIFS('Plan prihoda za unos u SAP'!$H$3:$H$501,'Plan prihoda za unos u SAP'!$C$3:$C$501,"=573",'Plan prihoda za unos u SAP'!$K$3:$K$501,"=614")</f>
        <v>0</v>
      </c>
      <c r="Q52" s="189">
        <f>SUMIFS('Plan prihoda za unos u SAP'!$H$3:$H$501,'Plan prihoda za unos u SAP'!$C$3:$C$501,"=575",'Plan prihoda za unos u SAP'!$K$3:$K$501,"=614")</f>
        <v>0</v>
      </c>
      <c r="R52" s="189">
        <f>SUMIFS('Plan prihoda za unos u SAP'!$H$3:$H$501,'Plan prihoda za unos u SAP'!$C$3:$C$501,"=576",'Plan prihoda za unos u SAP'!$K$3:$K$501,"=614")</f>
        <v>0</v>
      </c>
      <c r="S52" s="189">
        <f>SUMIFS('Plan prihoda za unos u SAP'!$H$3:$H$501,'Plan prihoda za unos u SAP'!$C$3:$C$501,"=61",'Plan prihoda za unos u SAP'!$K$3:$K$501,"=614")</f>
        <v>0</v>
      </c>
      <c r="T52" s="189">
        <f>SUMIFS('Plan prihoda za unos u SAP'!$H$3:$H$501,'Plan prihoda za unos u SAP'!$C$3:$C$501,"=63",'Plan prihoda za unos u SAP'!$K$3:$K$501,"=614")</f>
        <v>0</v>
      </c>
      <c r="U52" s="189">
        <f>SUMIFS('Plan prihoda za unos u SAP'!$H$3:$H$501,'Plan prihoda za unos u SAP'!$C$3:$C$501,"=71",'Plan prihoda za unos u SAP'!$K$3:$K$501,"=614")</f>
        <v>0</v>
      </c>
      <c r="V52" s="189">
        <f>SUMIFS('Plan prihoda za unos u SAP'!$H$3:$H$501,'Plan prihoda za unos u SAP'!$C$3:$C$501,"=81",'Plan prihoda za unos u SAP'!$K$3:$K$501,"=614")</f>
        <v>0</v>
      </c>
      <c r="W52" s="189">
        <f>SUMIFS('Plan prihoda za unos u SAP'!$H$3:$H$501,'Plan prihoda za unos u SAP'!$C$3:$C$501,"=83",'Plan prihoda za unos u SAP'!$K$3:$K$501,"=614")</f>
        <v>0</v>
      </c>
    </row>
    <row r="53" spans="1:29" s="90" customFormat="1">
      <c r="A53" s="90">
        <v>2022</v>
      </c>
      <c r="B53" s="97" t="s">
        <v>281</v>
      </c>
      <c r="C53" s="96" t="s">
        <v>282</v>
      </c>
      <c r="D53" s="70">
        <f t="shared" si="12"/>
        <v>0</v>
      </c>
      <c r="E53" s="189">
        <f>SUMIFS('Plan prihoda za unos u SAP'!$H$3:$H$501,'Plan prihoda za unos u SAP'!$C$3:$C$501,"=11",'Plan prihoda za unos u SAP'!$K$3:$K$501,"=631")</f>
        <v>0</v>
      </c>
      <c r="F53" s="189">
        <f>SUMIFS('Plan prihoda za unos u SAP'!$H$3:$H$501,'Plan prihoda za unos u SAP'!$C$3:$C$501,"=12",'Plan prihoda za unos u SAP'!$K$3:$K$501,"=631")</f>
        <v>0</v>
      </c>
      <c r="G53" s="189">
        <f>SUMIFS('Plan prihoda za unos u SAP'!$H$3:$H$501,'Plan prihoda za unos u SAP'!$C$3:$C$501,"=31",'Plan prihoda za unos u SAP'!$K$3:$K$501,"=631")</f>
        <v>0</v>
      </c>
      <c r="H53" s="189">
        <f>SUMIFS('Plan prihoda za unos u SAP'!$H$3:$H$501,'Plan prihoda za unos u SAP'!$C$3:$C$501,"=41",'Plan prihoda za unos u SAP'!$K$3:$K$501,"=631")</f>
        <v>0</v>
      </c>
      <c r="I53" s="189">
        <f>SUMIFS('Plan prihoda za unos u SAP'!$H$3:$H$501,'Plan prihoda za unos u SAP'!$C$3:$C$501,"=43",'Plan prihoda za unos u SAP'!$K$3:$K$501,"=631")</f>
        <v>0</v>
      </c>
      <c r="J53" s="189">
        <f>SUMIFS('Plan prihoda za unos u SAP'!$H$3:$H$501,'Plan prihoda za unos u SAP'!$C$3:$C$501,"=51",'Plan prihoda za unos u SAP'!$K$3:$K$501,"=631")</f>
        <v>0</v>
      </c>
      <c r="K53" s="189">
        <f>SUMIFS('Plan prihoda za unos u SAP'!$H$3:$H$501,'Plan prihoda za unos u SAP'!$C$3:$C$501,"=52",'Plan prihoda za unos u SAP'!$K$3:$K$501,"=631")</f>
        <v>0</v>
      </c>
      <c r="L53" s="189">
        <f>SUMIFS('Plan prihoda za unos u SAP'!$H$3:$H$501,'Plan prihoda za unos u SAP'!$C$3:$C$501,"=552",'Plan prihoda za unos u SAP'!$K$3:$K$501,"=631")</f>
        <v>0</v>
      </c>
      <c r="M53" s="189">
        <f>SUMIFS('Plan prihoda za unos u SAP'!$H$3:$H$501,'Plan prihoda za unos u SAP'!$C$3:$C$501,"=559",'Plan prihoda za unos u SAP'!$K$3:$K$501,"=631")</f>
        <v>0</v>
      </c>
      <c r="N53" s="189">
        <f>SUMIFS('Plan prihoda za unos u SAP'!$H$3:$H$501,'Plan prihoda za unos u SAP'!$C$3:$C$501,"=561",'Plan prihoda za unos u SAP'!$K$3:$K$501,"=631")</f>
        <v>0</v>
      </c>
      <c r="O53" s="189">
        <f>SUMIFS('Plan prihoda za unos u SAP'!$H$3:$H$501,'Plan prihoda za unos u SAP'!$C$3:$C$501,"=563",'Plan prihoda za unos u SAP'!$K$3:$K$501,"=631")</f>
        <v>0</v>
      </c>
      <c r="P53" s="189">
        <f>SUMIFS('Plan prihoda za unos u SAP'!$H$3:$H$501,'Plan prihoda za unos u SAP'!$C$3:$C$501,"=573",'Plan prihoda za unos u SAP'!$K$3:$K$501,"=631")</f>
        <v>0</v>
      </c>
      <c r="Q53" s="189">
        <f>SUMIFS('Plan prihoda za unos u SAP'!$H$3:$H$501,'Plan prihoda za unos u SAP'!$C$3:$C$501,"=575",'Plan prihoda za unos u SAP'!$K$3:$K$501,"=631")</f>
        <v>0</v>
      </c>
      <c r="R53" s="189">
        <f>SUMIFS('Plan prihoda za unos u SAP'!$H$3:$H$501,'Plan prihoda za unos u SAP'!$C$3:$C$501,"=576",'Plan prihoda za unos u SAP'!$K$3:$K$501,"=631")</f>
        <v>0</v>
      </c>
      <c r="S53" s="189">
        <f>SUMIFS('Plan prihoda za unos u SAP'!$H$3:$H$501,'Plan prihoda za unos u SAP'!$C$3:$C$501,"=61",'Plan prihoda za unos u SAP'!$K$3:$K$501,"=631")</f>
        <v>0</v>
      </c>
      <c r="T53" s="189">
        <f>SUMIFS('Plan prihoda za unos u SAP'!$H$3:$H$501,'Plan prihoda za unos u SAP'!$C$3:$C$501,"=63",'Plan prihoda za unos u SAP'!$K$3:$K$501,"=631")</f>
        <v>0</v>
      </c>
      <c r="U53" s="189">
        <f>SUMIFS('Plan prihoda za unos u SAP'!$H$3:$H$501,'Plan prihoda za unos u SAP'!$C$3:$C$501,"=71",'Plan prihoda za unos u SAP'!$K$3:$K$501,"=631")</f>
        <v>0</v>
      </c>
      <c r="V53" s="189">
        <f>SUMIFS('Plan prihoda za unos u SAP'!$H$3:$H$501,'Plan prihoda za unos u SAP'!$C$3:$C$501,"=81",'Plan prihoda za unos u SAP'!$K$3:$K$501,"=631")</f>
        <v>0</v>
      </c>
      <c r="W53" s="189">
        <f>SUMIFS('Plan prihoda za unos u SAP'!$H$3:$H$501,'Plan prihoda za unos u SAP'!$C$3:$C$501,"=83",'Plan prihoda za unos u SAP'!$K$3:$K$501,"=631")</f>
        <v>0</v>
      </c>
    </row>
    <row r="54" spans="1:29" s="90" customFormat="1">
      <c r="A54" s="90">
        <v>2022</v>
      </c>
      <c r="B54" s="95" t="s">
        <v>283</v>
      </c>
      <c r="C54" s="96" t="s">
        <v>284</v>
      </c>
      <c r="D54" s="70">
        <f t="shared" si="12"/>
        <v>3107878</v>
      </c>
      <c r="E54" s="189">
        <f>SUMIFS('Plan prihoda za unos u SAP'!$H$3:$H$501,'Plan prihoda za unos u SAP'!$C$3:$C$501,"=11",'Plan prihoda za unos u SAP'!$K$3:$K$501,"=632")</f>
        <v>0</v>
      </c>
      <c r="F54" s="189">
        <f>SUMIFS('Plan prihoda za unos u SAP'!$H$3:$H$501,'Plan prihoda za unos u SAP'!$C$3:$C$501,"=12",'Plan prihoda za unos u SAP'!$K$3:$K$501,"=632")</f>
        <v>0</v>
      </c>
      <c r="G54" s="189">
        <f>SUMIFS('Plan prihoda za unos u SAP'!$H$3:$H$501,'Plan prihoda za unos u SAP'!$C$3:$C$501,"=31",'Plan prihoda za unos u SAP'!$K$3:$K$501,"=632")</f>
        <v>0</v>
      </c>
      <c r="H54" s="189">
        <f>SUMIFS('Plan prihoda za unos u SAP'!$H$3:$H$501,'Plan prihoda za unos u SAP'!$C$3:$C$501,"=41",'Plan prihoda za unos u SAP'!$K$3:$K$501,"=632")</f>
        <v>0</v>
      </c>
      <c r="I54" s="189">
        <f>SUMIFS('Plan prihoda za unos u SAP'!$H$3:$H$501,'Plan prihoda za unos u SAP'!$C$3:$C$501,"=43",'Plan prihoda za unos u SAP'!$K$3:$K$501,"=632")</f>
        <v>0</v>
      </c>
      <c r="J54" s="189">
        <f>SUMIFS('Plan prihoda za unos u SAP'!$H$3:$H$501,'Plan prihoda za unos u SAP'!$C$3:$C$501,"=51",'Plan prihoda za unos u SAP'!$K$3:$K$501,"=632")</f>
        <v>3007878</v>
      </c>
      <c r="K54" s="189">
        <f>SUMIFS('Plan prihoda za unos u SAP'!$H$3:$H$501,'Plan prihoda za unos u SAP'!$C$3:$C$501,"=52",'Plan prihoda za unos u SAP'!$K$3:$K$501,"=632")</f>
        <v>100000</v>
      </c>
      <c r="L54" s="189">
        <f>SUMIFS('Plan prihoda za unos u SAP'!$H$3:$H$501,'Plan prihoda za unos u SAP'!$C$3:$C$501,"=552",'Plan prihoda za unos u SAP'!$K$3:$K$501,"=632")</f>
        <v>0</v>
      </c>
      <c r="M54" s="189">
        <f>SUMIFS('Plan prihoda za unos u SAP'!$H$3:$H$501,'Plan prihoda za unos u SAP'!$C$3:$C$501,"=559",'Plan prihoda za unos u SAP'!$K$3:$K$501,"=632")</f>
        <v>0</v>
      </c>
      <c r="N54" s="189">
        <f>SUMIFS('Plan prihoda za unos u SAP'!$H$3:$H$501,'Plan prihoda za unos u SAP'!$C$3:$C$501,"=561",'Plan prihoda za unos u SAP'!$K$3:$K$501,"=632")</f>
        <v>0</v>
      </c>
      <c r="O54" s="189">
        <f>SUMIFS('Plan prihoda za unos u SAP'!$H$3:$H$501,'Plan prihoda za unos u SAP'!$C$3:$C$501,"=563",'Plan prihoda za unos u SAP'!$K$3:$K$501,"=632")</f>
        <v>0</v>
      </c>
      <c r="P54" s="189">
        <f>SUMIFS('Plan prihoda za unos u SAP'!$H$3:$H$501,'Plan prihoda za unos u SAP'!$C$3:$C$501,"=573",'Plan prihoda za unos u SAP'!$K$3:$K$501,"=632")</f>
        <v>0</v>
      </c>
      <c r="Q54" s="189">
        <f>SUMIFS('Plan prihoda za unos u SAP'!$H$3:$H$501,'Plan prihoda za unos u SAP'!$C$3:$C$501,"=575",'Plan prihoda za unos u SAP'!$K$3:$K$501,"=632")</f>
        <v>0</v>
      </c>
      <c r="R54" s="189">
        <f>SUMIFS('Plan prihoda za unos u SAP'!$H$3:$H$501,'Plan prihoda za unos u SAP'!$C$3:$C$501,"=576",'Plan prihoda za unos u SAP'!$K$3:$K$501,"=632")</f>
        <v>0</v>
      </c>
      <c r="S54" s="189">
        <f>SUMIFS('Plan prihoda za unos u SAP'!$H$3:$H$501,'Plan prihoda za unos u SAP'!$C$3:$C$501,"=61",'Plan prihoda za unos u SAP'!$K$3:$K$501,"=632")</f>
        <v>0</v>
      </c>
      <c r="T54" s="189">
        <f>SUMIFS('Plan prihoda za unos u SAP'!$H$3:$H$501,'Plan prihoda za unos u SAP'!$C$3:$C$501,"=63",'Plan prihoda za unos u SAP'!$K$3:$K$501,"=632")</f>
        <v>0</v>
      </c>
      <c r="U54" s="189">
        <f>SUMIFS('Plan prihoda za unos u SAP'!$H$3:$H$501,'Plan prihoda za unos u SAP'!$C$3:$C$501,"=71",'Plan prihoda za unos u SAP'!$K$3:$K$501,"=632")</f>
        <v>0</v>
      </c>
      <c r="V54" s="189">
        <f>SUMIFS('Plan prihoda za unos u SAP'!$H$3:$H$501,'Plan prihoda za unos u SAP'!$C$3:$C$501,"=81",'Plan prihoda za unos u SAP'!$K$3:$K$501,"=632")</f>
        <v>0</v>
      </c>
      <c r="W54" s="189">
        <f>SUMIFS('Plan prihoda za unos u SAP'!$H$3:$H$501,'Plan prihoda za unos u SAP'!$C$3:$C$501,"=83",'Plan prihoda za unos u SAP'!$K$3:$K$501,"=632")</f>
        <v>0</v>
      </c>
    </row>
    <row r="55" spans="1:29" s="90" customFormat="1">
      <c r="A55" s="90">
        <v>2022</v>
      </c>
      <c r="B55" s="95" t="s">
        <v>285</v>
      </c>
      <c r="C55" s="96" t="s">
        <v>286</v>
      </c>
      <c r="D55" s="70">
        <f t="shared" si="12"/>
        <v>0</v>
      </c>
      <c r="E55" s="189">
        <f>SUMIFS('Plan prihoda za unos u SAP'!$H$3:$H$501,'Plan prihoda za unos u SAP'!$C$3:$C$501,"=11",'Plan prihoda za unos u SAP'!$K$3:$K$501,"=634")</f>
        <v>0</v>
      </c>
      <c r="F55" s="189">
        <f>SUMIFS('Plan prihoda za unos u SAP'!$H$3:$H$501,'Plan prihoda za unos u SAP'!$C$3:$C$501,"=12",'Plan prihoda za unos u SAP'!$K$3:$K$501,"=634")</f>
        <v>0</v>
      </c>
      <c r="G55" s="189">
        <f>SUMIFS('Plan prihoda za unos u SAP'!$H$3:$H$501,'Plan prihoda za unos u SAP'!$C$3:$C$501,"=31",'Plan prihoda za unos u SAP'!$K$3:$K$501,"=634")</f>
        <v>0</v>
      </c>
      <c r="H55" s="189">
        <f>SUMIFS('Plan prihoda za unos u SAP'!$H$3:$H$501,'Plan prihoda za unos u SAP'!$C$3:$C$501,"=41",'Plan prihoda za unos u SAP'!$K$3:$K$501,"=634")</f>
        <v>0</v>
      </c>
      <c r="I55" s="189">
        <f>SUMIFS('Plan prihoda za unos u SAP'!$H$3:$H$501,'Plan prihoda za unos u SAP'!$C$3:$C$501,"=43",'Plan prihoda za unos u SAP'!$K$3:$K$501,"=634")</f>
        <v>0</v>
      </c>
      <c r="J55" s="189">
        <f>SUMIFS('Plan prihoda za unos u SAP'!$H$3:$H$501,'Plan prihoda za unos u SAP'!$C$3:$C$501,"=51",'Plan prihoda za unos u SAP'!$K$3:$K$501,"=634")</f>
        <v>0</v>
      </c>
      <c r="K55" s="189">
        <f>SUMIFS('Plan prihoda za unos u SAP'!$H$3:$H$501,'Plan prihoda za unos u SAP'!$C$3:$C$501,"=52",'Plan prihoda za unos u SAP'!$K$3:$K$501,"=634")</f>
        <v>0</v>
      </c>
      <c r="L55" s="189">
        <f>SUMIFS('Plan prihoda za unos u SAP'!$H$3:$H$501,'Plan prihoda za unos u SAP'!$C$3:$C$501,"=552",'Plan prihoda za unos u SAP'!$K$3:$K$501,"=634")</f>
        <v>0</v>
      </c>
      <c r="M55" s="189">
        <f>SUMIFS('Plan prihoda za unos u SAP'!$H$3:$H$501,'Plan prihoda za unos u SAP'!$C$3:$C$501,"=559",'Plan prihoda za unos u SAP'!$K$3:$K$501,"=634")</f>
        <v>0</v>
      </c>
      <c r="N55" s="189">
        <f>SUMIFS('Plan prihoda za unos u SAP'!$H$3:$H$501,'Plan prihoda za unos u SAP'!$C$3:$C$501,"=561",'Plan prihoda za unos u SAP'!$K$3:$K$501,"=634")</f>
        <v>0</v>
      </c>
      <c r="O55" s="189">
        <f>SUMIFS('Plan prihoda za unos u SAP'!$H$3:$H$501,'Plan prihoda za unos u SAP'!$C$3:$C$501,"=563",'Plan prihoda za unos u SAP'!$K$3:$K$501,"=634")</f>
        <v>0</v>
      </c>
      <c r="P55" s="189">
        <f>SUMIFS('Plan prihoda za unos u SAP'!$H$3:$H$501,'Plan prihoda za unos u SAP'!$C$3:$C$501,"=573",'Plan prihoda za unos u SAP'!$K$3:$K$501,"=634")</f>
        <v>0</v>
      </c>
      <c r="Q55" s="189">
        <f>SUMIFS('Plan prihoda za unos u SAP'!$H$3:$H$501,'Plan prihoda za unos u SAP'!$C$3:$C$501,"=575",'Plan prihoda za unos u SAP'!$K$3:$K$501,"=634")</f>
        <v>0</v>
      </c>
      <c r="R55" s="189">
        <f>SUMIFS('Plan prihoda za unos u SAP'!$H$3:$H$501,'Plan prihoda za unos u SAP'!$C$3:$C$501,"=576",'Plan prihoda za unos u SAP'!$K$3:$K$501,"=634")</f>
        <v>0</v>
      </c>
      <c r="S55" s="189">
        <f>SUMIFS('Plan prihoda za unos u SAP'!$H$3:$H$501,'Plan prihoda za unos u SAP'!$C$3:$C$501,"=61",'Plan prihoda za unos u SAP'!$K$3:$K$501,"=634")</f>
        <v>0</v>
      </c>
      <c r="T55" s="189">
        <f>SUMIFS('Plan prihoda za unos u SAP'!$H$3:$H$501,'Plan prihoda za unos u SAP'!$C$3:$C$501,"=63",'Plan prihoda za unos u SAP'!$K$3:$K$501,"=634")</f>
        <v>0</v>
      </c>
      <c r="U55" s="189">
        <f>SUMIFS('Plan prihoda za unos u SAP'!$H$3:$H$501,'Plan prihoda za unos u SAP'!$C$3:$C$501,"=71",'Plan prihoda za unos u SAP'!$K$3:$K$501,"=634")</f>
        <v>0</v>
      </c>
      <c r="V55" s="189">
        <f>SUMIFS('Plan prihoda za unos u SAP'!$H$3:$H$501,'Plan prihoda za unos u SAP'!$C$3:$C$501,"=81",'Plan prihoda za unos u SAP'!$K$3:$K$501,"=634")</f>
        <v>0</v>
      </c>
      <c r="W55" s="189">
        <f>SUMIFS('Plan prihoda za unos u SAP'!$H$3:$H$501,'Plan prihoda za unos u SAP'!$C$3:$C$501,"=83",'Plan prihoda za unos u SAP'!$K$3:$K$501,"=634")</f>
        <v>0</v>
      </c>
    </row>
    <row r="56" spans="1:29" s="90" customFormat="1">
      <c r="A56" s="90">
        <v>2022</v>
      </c>
      <c r="B56" s="215" t="s">
        <v>762</v>
      </c>
      <c r="C56" s="96" t="s">
        <v>763</v>
      </c>
      <c r="D56" s="70">
        <f t="shared" si="12"/>
        <v>0</v>
      </c>
      <c r="E56" s="189">
        <f>SUMIFS('Plan prihoda za unos u SAP'!$H$3:$H$501,'Plan prihoda za unos u SAP'!$C$3:$C$501,"=11",'Plan prihoda za unos u SAP'!$K$3:$K$501,"=636")</f>
        <v>0</v>
      </c>
      <c r="F56" s="189">
        <f>SUMIFS('Plan prihoda za unos u SAP'!$H$3:$H$501,'Plan prihoda za unos u SAP'!$C$3:$C$501,"=12",'Plan prihoda za unos u SAP'!$K$3:$K$501,"=636")</f>
        <v>0</v>
      </c>
      <c r="G56" s="189">
        <f>SUMIFS('Plan prihoda za unos u SAP'!$H$3:$H$501,'Plan prihoda za unos u SAP'!$C$3:$C$501,"=31",'Plan prihoda za unos u SAP'!$K$3:$K$501,"=636")</f>
        <v>0</v>
      </c>
      <c r="H56" s="189">
        <f>SUMIFS('Plan prihoda za unos u SAP'!$H$3:$H$501,'Plan prihoda za unos u SAP'!$C$3:$C$501,"=41",'Plan prihoda za unos u SAP'!$K$3:$K$501,"=636")</f>
        <v>0</v>
      </c>
      <c r="I56" s="189">
        <f>SUMIFS('Plan prihoda za unos u SAP'!$H$3:$H$501,'Plan prihoda za unos u SAP'!$C$3:$C$501,"=43",'Plan prihoda za unos u SAP'!$K$3:$K$501,"=636")</f>
        <v>0</v>
      </c>
      <c r="J56" s="189">
        <f>SUMIFS('Plan prihoda za unos u SAP'!$H$3:$H$501,'Plan prihoda za unos u SAP'!$C$3:$C$501,"=51",'Plan prihoda za unos u SAP'!$K$3:$K$501,"=636")</f>
        <v>0</v>
      </c>
      <c r="K56" s="189">
        <f>SUMIFS('Plan prihoda za unos u SAP'!$H$3:$H$501,'Plan prihoda za unos u SAP'!$C$3:$C$501,"=52",'Plan prihoda za unos u SAP'!$K$3:$K$501,"=636")</f>
        <v>0</v>
      </c>
      <c r="L56" s="189">
        <f>SUMIFS('Plan prihoda za unos u SAP'!$H$3:$H$501,'Plan prihoda za unos u SAP'!$C$3:$C$501,"=552",'Plan prihoda za unos u SAP'!$K$3:$K$501,"=636")</f>
        <v>0</v>
      </c>
      <c r="M56" s="189">
        <f>SUMIFS('Plan prihoda za unos u SAP'!$H$3:$H$501,'Plan prihoda za unos u SAP'!$C$3:$C$501,"=559",'Plan prihoda za unos u SAP'!$K$3:$K$501,"=636")</f>
        <v>0</v>
      </c>
      <c r="N56" s="189">
        <f>SUMIFS('Plan prihoda za unos u SAP'!$H$3:$H$501,'Plan prihoda za unos u SAP'!$C$3:$C$501,"=561",'Plan prihoda za unos u SAP'!$K$3:$K$501,"=636")</f>
        <v>0</v>
      </c>
      <c r="O56" s="189">
        <f>SUMIFS('Plan prihoda za unos u SAP'!$H$3:$H$501,'Plan prihoda za unos u SAP'!$C$3:$C$501,"=563",'Plan prihoda za unos u SAP'!$K$3:$K$501,"=636")</f>
        <v>0</v>
      </c>
      <c r="P56" s="189">
        <f>SUMIFS('Plan prihoda za unos u SAP'!$H$3:$H$501,'Plan prihoda za unos u SAP'!$C$3:$C$501,"=573",'Plan prihoda za unos u SAP'!$K$3:$K$501,"=636")</f>
        <v>0</v>
      </c>
      <c r="Q56" s="189">
        <f>SUMIFS('Plan prihoda za unos u SAP'!$H$3:$H$501,'Plan prihoda za unos u SAP'!$C$3:$C$501,"=575",'Plan prihoda za unos u SAP'!$K$3:$K$501,"=636")</f>
        <v>0</v>
      </c>
      <c r="R56" s="189">
        <f>SUMIFS('Plan prihoda za unos u SAP'!$H$3:$H$501,'Plan prihoda za unos u SAP'!$C$3:$C$501,"=576",'Plan prihoda za unos u SAP'!$K$3:$K$501,"=636")</f>
        <v>0</v>
      </c>
      <c r="S56" s="189">
        <f>SUMIFS('Plan prihoda za unos u SAP'!$H$3:$H$501,'Plan prihoda za unos u SAP'!$C$3:$C$501,"=61",'Plan prihoda za unos u SAP'!$K$3:$K$501,"=636")</f>
        <v>0</v>
      </c>
      <c r="T56" s="189">
        <f>SUMIFS('Plan prihoda za unos u SAP'!$H$3:$H$501,'Plan prihoda za unos u SAP'!$C$3:$C$501,"=63",'Plan prihoda za unos u SAP'!$K$3:$K$501,"=636")</f>
        <v>0</v>
      </c>
      <c r="U56" s="189">
        <f>SUMIFS('Plan prihoda za unos u SAP'!$H$3:$H$501,'Plan prihoda za unos u SAP'!$C$3:$C$501,"=71",'Plan prihoda za unos u SAP'!$K$3:$K$501,"=636")</f>
        <v>0</v>
      </c>
      <c r="V56" s="189">
        <f>SUMIFS('Plan prihoda za unos u SAP'!$H$3:$H$501,'Plan prihoda za unos u SAP'!$C$3:$C$501,"=81",'Plan prihoda za unos u SAP'!$K$3:$K$501,"=636")</f>
        <v>0</v>
      </c>
      <c r="W56" s="189">
        <f>SUMIFS('Plan prihoda za unos u SAP'!$H$3:$H$501,'Plan prihoda za unos u SAP'!$C$3:$C$501,"=83",'Plan prihoda za unos u SAP'!$K$3:$K$501,"=636")</f>
        <v>0</v>
      </c>
    </row>
    <row r="57" spans="1:29" s="90" customFormat="1">
      <c r="A57" s="90">
        <v>2022</v>
      </c>
      <c r="B57" s="95" t="s">
        <v>287</v>
      </c>
      <c r="C57" s="96" t="s">
        <v>288</v>
      </c>
      <c r="D57" s="70">
        <f t="shared" si="12"/>
        <v>0</v>
      </c>
      <c r="E57" s="189">
        <f>SUMIFS('Plan prihoda za unos u SAP'!$H$3:$H$501,'Plan prihoda za unos u SAP'!$C$3:$C$501,"=11",'Plan prihoda za unos u SAP'!$K$3:$K$501,"=638")</f>
        <v>0</v>
      </c>
      <c r="F57" s="189">
        <f>SUMIFS('Plan prihoda za unos u SAP'!$H$3:$H$501,'Plan prihoda za unos u SAP'!$C$3:$C$501,"=12",'Plan prihoda za unos u SAP'!$K$3:$K$501,"=638")</f>
        <v>0</v>
      </c>
      <c r="G57" s="189">
        <f>SUMIFS('Plan prihoda za unos u SAP'!$H$3:$H$501,'Plan prihoda za unos u SAP'!$C$3:$C$501,"=31",'Plan prihoda za unos u SAP'!$K$3:$K$501,"=638")</f>
        <v>0</v>
      </c>
      <c r="H57" s="189">
        <f>SUMIFS('Plan prihoda za unos u SAP'!$H$3:$H$501,'Plan prihoda za unos u SAP'!$C$3:$C$501,"=41",'Plan prihoda za unos u SAP'!$K$3:$K$501,"=638")</f>
        <v>0</v>
      </c>
      <c r="I57" s="189">
        <f>SUMIFS('Plan prihoda za unos u SAP'!$H$3:$H$501,'Plan prihoda za unos u SAP'!$C$3:$C$501,"=43",'Plan prihoda za unos u SAP'!$K$3:$K$501,"=638")</f>
        <v>0</v>
      </c>
      <c r="J57" s="189">
        <f>SUMIFS('Plan prihoda za unos u SAP'!$H$3:$H$501,'Plan prihoda za unos u SAP'!$C$3:$C$501,"=51",'Plan prihoda za unos u SAP'!$K$3:$K$501,"=638")</f>
        <v>0</v>
      </c>
      <c r="K57" s="189">
        <f>SUMIFS('Plan prihoda za unos u SAP'!$H$3:$H$501,'Plan prihoda za unos u SAP'!$C$3:$C$501,"=52",'Plan prihoda za unos u SAP'!$K$3:$K$501,"=638")</f>
        <v>0</v>
      </c>
      <c r="L57" s="189">
        <f>SUMIFS('Plan prihoda za unos u SAP'!$H$3:$H$501,'Plan prihoda za unos u SAP'!$C$3:$C$501,"=552",'Plan prihoda za unos u SAP'!$K$3:$K$501,"=638")</f>
        <v>0</v>
      </c>
      <c r="M57" s="189">
        <f>SUMIFS('Plan prihoda za unos u SAP'!$H$3:$H$501,'Plan prihoda za unos u SAP'!$C$3:$C$501,"=559",'Plan prihoda za unos u SAP'!$K$3:$K$501,"=638")</f>
        <v>0</v>
      </c>
      <c r="N57" s="189">
        <f>SUMIFS('Plan prihoda za unos u SAP'!$H$3:$H$501,'Plan prihoda za unos u SAP'!$C$3:$C$501,"=561",'Plan prihoda za unos u SAP'!$K$3:$K$501,"=638")</f>
        <v>0</v>
      </c>
      <c r="O57" s="189">
        <f>SUMIFS('Plan prihoda za unos u SAP'!$H$3:$H$501,'Plan prihoda za unos u SAP'!$C$3:$C$501,"=563",'Plan prihoda za unos u SAP'!$K$3:$K$501,"=638")</f>
        <v>0</v>
      </c>
      <c r="P57" s="189">
        <f>SUMIFS('Plan prihoda za unos u SAP'!$H$3:$H$501,'Plan prihoda za unos u SAP'!$C$3:$C$501,"=573",'Plan prihoda za unos u SAP'!$K$3:$K$501,"=638")</f>
        <v>0</v>
      </c>
      <c r="Q57" s="189">
        <f>SUMIFS('Plan prihoda za unos u SAP'!$H$3:$H$501,'Plan prihoda za unos u SAP'!$C$3:$C$501,"=575",'Plan prihoda za unos u SAP'!$K$3:$K$501,"=638")</f>
        <v>0</v>
      </c>
      <c r="R57" s="189">
        <f>SUMIFS('Plan prihoda za unos u SAP'!$H$3:$H$501,'Plan prihoda za unos u SAP'!$C$3:$C$501,"=576",'Plan prihoda za unos u SAP'!$K$3:$K$501,"=638")</f>
        <v>0</v>
      </c>
      <c r="S57" s="189">
        <f>SUMIFS('Plan prihoda za unos u SAP'!$H$3:$H$501,'Plan prihoda za unos u SAP'!$C$3:$C$501,"=61",'Plan prihoda za unos u SAP'!$K$3:$K$501,"=638")</f>
        <v>0</v>
      </c>
      <c r="T57" s="189">
        <f>SUMIFS('Plan prihoda za unos u SAP'!$H$3:$H$501,'Plan prihoda za unos u SAP'!$C$3:$C$501,"=63",'Plan prihoda za unos u SAP'!$K$3:$K$501,"=638")</f>
        <v>0</v>
      </c>
      <c r="U57" s="189">
        <f>SUMIFS('Plan prihoda za unos u SAP'!$H$3:$H$501,'Plan prihoda za unos u SAP'!$C$3:$C$501,"=71",'Plan prihoda za unos u SAP'!$K$3:$K$501,"=638")</f>
        <v>0</v>
      </c>
      <c r="V57" s="189">
        <f>SUMIFS('Plan prihoda za unos u SAP'!$H$3:$H$501,'Plan prihoda za unos u SAP'!$C$3:$C$501,"=81",'Plan prihoda za unos u SAP'!$K$3:$K$501,"=638")</f>
        <v>0</v>
      </c>
      <c r="W57" s="189">
        <f>SUMIFS('Plan prihoda za unos u SAP'!$H$3:$H$501,'Plan prihoda za unos u SAP'!$C$3:$C$501,"=83",'Plan prihoda za unos u SAP'!$K$3:$K$501,"=638")</f>
        <v>0</v>
      </c>
    </row>
    <row r="58" spans="1:29" s="90" customFormat="1">
      <c r="A58" s="90">
        <v>2022</v>
      </c>
      <c r="B58" s="95" t="s">
        <v>289</v>
      </c>
      <c r="C58" s="96" t="s">
        <v>41</v>
      </c>
      <c r="D58" s="70">
        <f t="shared" si="12"/>
        <v>0</v>
      </c>
      <c r="E58" s="189">
        <f>SUMIFS('Plan prihoda za unos u SAP'!$H$3:$H$501,'Plan prihoda za unos u SAP'!$C$3:$C$501,"=11",'Plan prihoda za unos u SAP'!$K$3:$K$501,"=639")</f>
        <v>0</v>
      </c>
      <c r="F58" s="189">
        <f>SUMIFS('Plan prihoda za unos u SAP'!$H$3:$H$501,'Plan prihoda za unos u SAP'!$C$3:$C$501,"=12",'Plan prihoda za unos u SAP'!$K$3:$K$501,"=639")</f>
        <v>0</v>
      </c>
      <c r="G58" s="189">
        <f>SUMIFS('Plan prihoda za unos u SAP'!$H$3:$H$501,'Plan prihoda za unos u SAP'!$C$3:$C$501,"=31",'Plan prihoda za unos u SAP'!$K$3:$K$501,"=639")</f>
        <v>0</v>
      </c>
      <c r="H58" s="189">
        <f>SUMIFS('Plan prihoda za unos u SAP'!$H$3:$H$501,'Plan prihoda za unos u SAP'!$C$3:$C$501,"=41",'Plan prihoda za unos u SAP'!$K$3:$K$501,"=639")</f>
        <v>0</v>
      </c>
      <c r="I58" s="189">
        <f>SUMIFS('Plan prihoda za unos u SAP'!$H$3:$H$501,'Plan prihoda za unos u SAP'!$C$3:$C$501,"=43",'Plan prihoda za unos u SAP'!$K$3:$K$501,"=639")</f>
        <v>0</v>
      </c>
      <c r="J58" s="189">
        <f>SUMIFS('Plan prihoda za unos u SAP'!$H$3:$H$501,'Plan prihoda za unos u SAP'!$C$3:$C$501,"=51",'Plan prihoda za unos u SAP'!$K$3:$K$501,"=639")</f>
        <v>0</v>
      </c>
      <c r="K58" s="189">
        <f>SUMIFS('Plan prihoda za unos u SAP'!$H$3:$H$501,'Plan prihoda za unos u SAP'!$C$3:$C$501,"=52",'Plan prihoda za unos u SAP'!$K$3:$K$501,"=639")</f>
        <v>0</v>
      </c>
      <c r="L58" s="189">
        <f>SUMIFS('Plan prihoda za unos u SAP'!$H$3:$H$501,'Plan prihoda za unos u SAP'!$C$3:$C$501,"=552",'Plan prihoda za unos u SAP'!$K$3:$K$501,"=639")</f>
        <v>0</v>
      </c>
      <c r="M58" s="189">
        <f>SUMIFS('Plan prihoda za unos u SAP'!$H$3:$H$501,'Plan prihoda za unos u SAP'!$C$3:$C$501,"=559",'Plan prihoda za unos u SAP'!$K$3:$K$501,"=639")</f>
        <v>0</v>
      </c>
      <c r="N58" s="189">
        <f>SUMIFS('Plan prihoda za unos u SAP'!$H$3:$H$501,'Plan prihoda za unos u SAP'!$C$3:$C$501,"=561",'Plan prihoda za unos u SAP'!$K$3:$K$501,"=639")</f>
        <v>0</v>
      </c>
      <c r="O58" s="189">
        <f>SUMIFS('Plan prihoda za unos u SAP'!$H$3:$H$501,'Plan prihoda za unos u SAP'!$C$3:$C$501,"=563",'Plan prihoda za unos u SAP'!$K$3:$K$501,"=639")</f>
        <v>0</v>
      </c>
      <c r="P58" s="189">
        <f>SUMIFS('Plan prihoda za unos u SAP'!$H$3:$H$501,'Plan prihoda za unos u SAP'!$C$3:$C$501,"=573",'Plan prihoda za unos u SAP'!$K$3:$K$501,"=639")</f>
        <v>0</v>
      </c>
      <c r="Q58" s="189">
        <f>SUMIFS('Plan prihoda za unos u SAP'!$H$3:$H$501,'Plan prihoda za unos u SAP'!$C$3:$C$501,"=575",'Plan prihoda za unos u SAP'!$K$3:$K$501,"=639")</f>
        <v>0</v>
      </c>
      <c r="R58" s="189">
        <f>SUMIFS('Plan prihoda za unos u SAP'!$H$3:$H$501,'Plan prihoda za unos u SAP'!$C$3:$C$501,"=576",'Plan prihoda za unos u SAP'!$K$3:$K$501,"=639")</f>
        <v>0</v>
      </c>
      <c r="S58" s="189">
        <f>SUMIFS('Plan prihoda za unos u SAP'!$H$3:$H$501,'Plan prihoda za unos u SAP'!$C$3:$C$501,"=61",'Plan prihoda za unos u SAP'!$K$3:$K$501,"=639")</f>
        <v>0</v>
      </c>
      <c r="T58" s="189">
        <f>SUMIFS('Plan prihoda za unos u SAP'!$H$3:$H$501,'Plan prihoda za unos u SAP'!$C$3:$C$501,"=63",'Plan prihoda za unos u SAP'!$K$3:$K$501,"=639")</f>
        <v>0</v>
      </c>
      <c r="U58" s="189">
        <f>SUMIFS('Plan prihoda za unos u SAP'!$H$3:$H$501,'Plan prihoda za unos u SAP'!$C$3:$C$501,"=71",'Plan prihoda za unos u SAP'!$K$3:$K$501,"=639")</f>
        <v>0</v>
      </c>
      <c r="V58" s="189">
        <f>SUMIFS('Plan prihoda za unos u SAP'!$H$3:$H$501,'Plan prihoda za unos u SAP'!$C$3:$C$501,"=81",'Plan prihoda za unos u SAP'!$K$3:$K$501,"=639")</f>
        <v>0</v>
      </c>
      <c r="W58" s="189">
        <f>SUMIFS('Plan prihoda za unos u SAP'!$H$3:$H$501,'Plan prihoda za unos u SAP'!$C$3:$C$501,"=83",'Plan prihoda za unos u SAP'!$K$3:$K$501,"=639")</f>
        <v>0</v>
      </c>
    </row>
    <row r="59" spans="1:29" s="90" customFormat="1">
      <c r="A59" s="90">
        <v>2022</v>
      </c>
      <c r="B59" s="95" t="s">
        <v>290</v>
      </c>
      <c r="C59" s="96" t="s">
        <v>291</v>
      </c>
      <c r="D59" s="70">
        <f t="shared" si="12"/>
        <v>15000</v>
      </c>
      <c r="E59" s="189">
        <f>SUMIFS('Plan prihoda za unos u SAP'!$H$3:$H$501,'Plan prihoda za unos u SAP'!$C$3:$C$501,"=11",'Plan prihoda za unos u SAP'!$K$3:$K$501,"=641")</f>
        <v>0</v>
      </c>
      <c r="F59" s="189">
        <f>SUMIFS('Plan prihoda za unos u SAP'!$H$3:$H$501,'Plan prihoda za unos u SAP'!$C$3:$C$501,"=12",'Plan prihoda za unos u SAP'!$K$3:$K$501,"=641")</f>
        <v>0</v>
      </c>
      <c r="G59" s="189">
        <f>SUMIFS('Plan prihoda za unos u SAP'!$H$3:$H$501,'Plan prihoda za unos u SAP'!$C$3:$C$501,"=31",'Plan prihoda za unos u SAP'!$K$3:$K$501,"=641")</f>
        <v>15000</v>
      </c>
      <c r="H59" s="189">
        <f>SUMIFS('Plan prihoda za unos u SAP'!$H$3:$H$501,'Plan prihoda za unos u SAP'!$C$3:$C$501,"=41",'Plan prihoda za unos u SAP'!$K$3:$K$501,"=641")</f>
        <v>0</v>
      </c>
      <c r="I59" s="189">
        <f>SUMIFS('Plan prihoda za unos u SAP'!$H$3:$H$501,'Plan prihoda za unos u SAP'!$C$3:$C$501,"=43",'Plan prihoda za unos u SAP'!$K$3:$K$501,"=641")</f>
        <v>0</v>
      </c>
      <c r="J59" s="189">
        <f>SUMIFS('Plan prihoda za unos u SAP'!$H$3:$H$501,'Plan prihoda za unos u SAP'!$C$3:$C$501,"=51",'Plan prihoda za unos u SAP'!$K$3:$K$501,"=641")</f>
        <v>0</v>
      </c>
      <c r="K59" s="189">
        <f>SUMIFS('Plan prihoda za unos u SAP'!$H$3:$H$501,'Plan prihoda za unos u SAP'!$C$3:$C$501,"=52",'Plan prihoda za unos u SAP'!$K$3:$K$501,"=641")</f>
        <v>0</v>
      </c>
      <c r="L59" s="189">
        <f>SUMIFS('Plan prihoda za unos u SAP'!$H$3:$H$501,'Plan prihoda za unos u SAP'!$C$3:$C$501,"=552",'Plan prihoda za unos u SAP'!$K$3:$K$501,"=641")</f>
        <v>0</v>
      </c>
      <c r="M59" s="189">
        <f>SUMIFS('Plan prihoda za unos u SAP'!$H$3:$H$501,'Plan prihoda za unos u SAP'!$C$3:$C$501,"=559",'Plan prihoda za unos u SAP'!$K$3:$K$501,"=641")</f>
        <v>0</v>
      </c>
      <c r="N59" s="189">
        <f>SUMIFS('Plan prihoda za unos u SAP'!$H$3:$H$501,'Plan prihoda za unos u SAP'!$C$3:$C$501,"=561",'Plan prihoda za unos u SAP'!$K$3:$K$501,"=641")</f>
        <v>0</v>
      </c>
      <c r="O59" s="189">
        <f>SUMIFS('Plan prihoda za unos u SAP'!$H$3:$H$501,'Plan prihoda za unos u SAP'!$C$3:$C$501,"=563",'Plan prihoda za unos u SAP'!$K$3:$K$501,"=641")</f>
        <v>0</v>
      </c>
      <c r="P59" s="189">
        <f>SUMIFS('Plan prihoda za unos u SAP'!$H$3:$H$501,'Plan prihoda za unos u SAP'!$C$3:$C$501,"=573",'Plan prihoda za unos u SAP'!$K$3:$K$501,"=641")</f>
        <v>0</v>
      </c>
      <c r="Q59" s="189">
        <f>SUMIFS('Plan prihoda za unos u SAP'!$H$3:$H$501,'Plan prihoda za unos u SAP'!$C$3:$C$501,"=575",'Plan prihoda za unos u SAP'!$K$3:$K$501,"=641")</f>
        <v>0</v>
      </c>
      <c r="R59" s="189">
        <f>SUMIFS('Plan prihoda za unos u SAP'!$H$3:$H$501,'Plan prihoda za unos u SAP'!$C$3:$C$501,"=576",'Plan prihoda za unos u SAP'!$K$3:$K$501,"=641")</f>
        <v>0</v>
      </c>
      <c r="S59" s="189">
        <f>SUMIFS('Plan prihoda za unos u SAP'!$H$3:$H$501,'Plan prihoda za unos u SAP'!$C$3:$C$501,"=61",'Plan prihoda za unos u SAP'!$K$3:$K$501,"=641")</f>
        <v>0</v>
      </c>
      <c r="T59" s="189">
        <f>SUMIFS('Plan prihoda za unos u SAP'!$H$3:$H$501,'Plan prihoda za unos u SAP'!$C$3:$C$501,"=63",'Plan prihoda za unos u SAP'!$K$3:$K$501,"=641")</f>
        <v>0</v>
      </c>
      <c r="U59" s="189">
        <f>SUMIFS('Plan prihoda za unos u SAP'!$H$3:$H$501,'Plan prihoda za unos u SAP'!$C$3:$C$501,"=71",'Plan prihoda za unos u SAP'!$K$3:$K$501,"=641")</f>
        <v>0</v>
      </c>
      <c r="V59" s="189">
        <f>SUMIFS('Plan prihoda za unos u SAP'!$H$3:$H$501,'Plan prihoda za unos u SAP'!$C$3:$C$501,"=81",'Plan prihoda za unos u SAP'!$K$3:$K$501,"=641")</f>
        <v>0</v>
      </c>
      <c r="W59" s="189">
        <f>SUMIFS('Plan prihoda za unos u SAP'!$H$3:$H$501,'Plan prihoda za unos u SAP'!$C$3:$C$501,"=83",'Plan prihoda za unos u SAP'!$K$3:$K$501,"=641")</f>
        <v>0</v>
      </c>
    </row>
    <row r="60" spans="1:29" s="90" customFormat="1">
      <c r="A60" s="90">
        <v>2022</v>
      </c>
      <c r="B60" s="95" t="s">
        <v>292</v>
      </c>
      <c r="C60" s="96" t="s">
        <v>293</v>
      </c>
      <c r="D60" s="70">
        <f t="shared" si="12"/>
        <v>0</v>
      </c>
      <c r="E60" s="189">
        <f>SUMIFS('Plan prihoda za unos u SAP'!$H$3:$H$501,'Plan prihoda za unos u SAP'!$C$3:$C$501,"=11",'Plan prihoda za unos u SAP'!$K$3:$K$501,"=642")</f>
        <v>0</v>
      </c>
      <c r="F60" s="189">
        <f>SUMIFS('Plan prihoda za unos u SAP'!$H$3:$H$501,'Plan prihoda za unos u SAP'!$C$3:$C$501,"=12",'Plan prihoda za unos u SAP'!$K$3:$K$501,"=642")</f>
        <v>0</v>
      </c>
      <c r="G60" s="189">
        <f>SUMIFS('Plan prihoda za unos u SAP'!$H$3:$H$501,'Plan prihoda za unos u SAP'!$C$3:$C$501,"=31",'Plan prihoda za unos u SAP'!$K$3:$K$501,"=642")</f>
        <v>0</v>
      </c>
      <c r="H60" s="189">
        <f>SUMIFS('Plan prihoda za unos u SAP'!$H$3:$H$501,'Plan prihoda za unos u SAP'!$C$3:$C$501,"=41",'Plan prihoda za unos u SAP'!$K$3:$K$501,"=642")</f>
        <v>0</v>
      </c>
      <c r="I60" s="189">
        <f>SUMIFS('Plan prihoda za unos u SAP'!$H$3:$H$501,'Plan prihoda za unos u SAP'!$C$3:$C$501,"=43",'Plan prihoda za unos u SAP'!$K$3:$K$501,"=642")</f>
        <v>0</v>
      </c>
      <c r="J60" s="189">
        <f>SUMIFS('Plan prihoda za unos u SAP'!$H$3:$H$501,'Plan prihoda za unos u SAP'!$C$3:$C$501,"=51",'Plan prihoda za unos u SAP'!$K$3:$K$501,"=642")</f>
        <v>0</v>
      </c>
      <c r="K60" s="189">
        <f>SUMIFS('Plan prihoda za unos u SAP'!$H$3:$H$501,'Plan prihoda za unos u SAP'!$C$3:$C$501,"=52",'Plan prihoda za unos u SAP'!$K$3:$K$501,"=642")</f>
        <v>0</v>
      </c>
      <c r="L60" s="189">
        <f>SUMIFS('Plan prihoda za unos u SAP'!$H$3:$H$501,'Plan prihoda za unos u SAP'!$C$3:$C$501,"=552",'Plan prihoda za unos u SAP'!$K$3:$K$501,"=642")</f>
        <v>0</v>
      </c>
      <c r="M60" s="189">
        <f>SUMIFS('Plan prihoda za unos u SAP'!$H$3:$H$501,'Plan prihoda za unos u SAP'!$C$3:$C$501,"=559",'Plan prihoda za unos u SAP'!$K$3:$K$501,"=642")</f>
        <v>0</v>
      </c>
      <c r="N60" s="189">
        <f>SUMIFS('Plan prihoda za unos u SAP'!$H$3:$H$501,'Plan prihoda za unos u SAP'!$C$3:$C$501,"=561",'Plan prihoda za unos u SAP'!$K$3:$K$501,"=642")</f>
        <v>0</v>
      </c>
      <c r="O60" s="189">
        <f>SUMIFS('Plan prihoda za unos u SAP'!$H$3:$H$501,'Plan prihoda za unos u SAP'!$C$3:$C$501,"=563",'Plan prihoda za unos u SAP'!$K$3:$K$501,"=642")</f>
        <v>0</v>
      </c>
      <c r="P60" s="189">
        <f>SUMIFS('Plan prihoda za unos u SAP'!$H$3:$H$501,'Plan prihoda za unos u SAP'!$C$3:$C$501,"=573",'Plan prihoda za unos u SAP'!$K$3:$K$501,"=642")</f>
        <v>0</v>
      </c>
      <c r="Q60" s="189">
        <f>SUMIFS('Plan prihoda za unos u SAP'!$H$3:$H$501,'Plan prihoda za unos u SAP'!$C$3:$C$501,"=575",'Plan prihoda za unos u SAP'!$K$3:$K$501,"=642")</f>
        <v>0</v>
      </c>
      <c r="R60" s="189">
        <f>SUMIFS('Plan prihoda za unos u SAP'!$H$3:$H$501,'Plan prihoda za unos u SAP'!$C$3:$C$501,"=576",'Plan prihoda za unos u SAP'!$K$3:$K$501,"=642")</f>
        <v>0</v>
      </c>
      <c r="S60" s="189">
        <f>SUMIFS('Plan prihoda za unos u SAP'!$H$3:$H$501,'Plan prihoda za unos u SAP'!$C$3:$C$501,"=61",'Plan prihoda za unos u SAP'!$K$3:$K$501,"=642")</f>
        <v>0</v>
      </c>
      <c r="T60" s="189">
        <f>SUMIFS('Plan prihoda za unos u SAP'!$H$3:$H$501,'Plan prihoda za unos u SAP'!$C$3:$C$501,"=63",'Plan prihoda za unos u SAP'!$K$3:$K$501,"=642")</f>
        <v>0</v>
      </c>
      <c r="U60" s="189">
        <f>SUMIFS('Plan prihoda za unos u SAP'!$H$3:$H$501,'Plan prihoda za unos u SAP'!$C$3:$C$501,"=71",'Plan prihoda za unos u SAP'!$K$3:$K$501,"=642")</f>
        <v>0</v>
      </c>
      <c r="V60" s="189">
        <f>SUMIFS('Plan prihoda za unos u SAP'!$H$3:$H$501,'Plan prihoda za unos u SAP'!$C$3:$C$501,"=81",'Plan prihoda za unos u SAP'!$K$3:$K$501,"=642")</f>
        <v>0</v>
      </c>
      <c r="W60" s="189">
        <f>SUMIFS('Plan prihoda za unos u SAP'!$H$3:$H$501,'Plan prihoda za unos u SAP'!$C$3:$C$501,"=83",'Plan prihoda za unos u SAP'!$K$3:$K$501,"=642")</f>
        <v>0</v>
      </c>
    </row>
    <row r="61" spans="1:29" s="90" customFormat="1">
      <c r="A61" s="90">
        <v>2022</v>
      </c>
      <c r="B61" s="215" t="s">
        <v>765</v>
      </c>
      <c r="C61" s="96" t="s">
        <v>764</v>
      </c>
      <c r="D61" s="70">
        <f t="shared" si="12"/>
        <v>0</v>
      </c>
      <c r="E61" s="189">
        <f>SUMIFS('Plan prihoda za unos u SAP'!$H$3:$H$501,'Plan prihoda za unos u SAP'!$C$3:$C$501,"=11",'Plan prihoda za unos u SAP'!$K$3:$K$501,"=651")</f>
        <v>0</v>
      </c>
      <c r="F61" s="189">
        <f>SUMIFS('Plan prihoda za unos u SAP'!$H$3:$H$501,'Plan prihoda za unos u SAP'!$C$3:$C$501,"=12",'Plan prihoda za unos u SAP'!$K$3:$K$501,"=651")</f>
        <v>0</v>
      </c>
      <c r="G61" s="189">
        <f>SUMIFS('Plan prihoda za unos u SAP'!$H$3:$H$501,'Plan prihoda za unos u SAP'!$C$3:$C$501,"=31",'Plan prihoda za unos u SAP'!$K$3:$K$501,"=651")</f>
        <v>0</v>
      </c>
      <c r="H61" s="189">
        <f>SUMIFS('Plan prihoda za unos u SAP'!$H$3:$H$501,'Plan prihoda za unos u SAP'!$C$3:$C$501,"=41",'Plan prihoda za unos u SAP'!$K$3:$K$501,"=651")</f>
        <v>0</v>
      </c>
      <c r="I61" s="189">
        <f>SUMIFS('Plan prihoda za unos u SAP'!$H$3:$H$501,'Plan prihoda za unos u SAP'!$C$3:$C$501,"=43",'Plan prihoda za unos u SAP'!$K$3:$K$501,"=651")</f>
        <v>0</v>
      </c>
      <c r="J61" s="189">
        <f>SUMIFS('Plan prihoda za unos u SAP'!$H$3:$H$501,'Plan prihoda za unos u SAP'!$C$3:$C$501,"=51",'Plan prihoda za unos u SAP'!$K$3:$K$501,"=651")</f>
        <v>0</v>
      </c>
      <c r="K61" s="189">
        <f>SUMIFS('Plan prihoda za unos u SAP'!$H$3:$H$501,'Plan prihoda za unos u SAP'!$C$3:$C$501,"=52",'Plan prihoda za unos u SAP'!$K$3:$K$501,"=651")</f>
        <v>0</v>
      </c>
      <c r="L61" s="189">
        <f>SUMIFS('Plan prihoda za unos u SAP'!$H$3:$H$501,'Plan prihoda za unos u SAP'!$C$3:$C$501,"=552",'Plan prihoda za unos u SAP'!$K$3:$K$501,"=651")</f>
        <v>0</v>
      </c>
      <c r="M61" s="189">
        <f>SUMIFS('Plan prihoda za unos u SAP'!$H$3:$H$501,'Plan prihoda za unos u SAP'!$C$3:$C$501,"=559",'Plan prihoda za unos u SAP'!$K$3:$K$501,"=651")</f>
        <v>0</v>
      </c>
      <c r="N61" s="189">
        <f>SUMIFS('Plan prihoda za unos u SAP'!$H$3:$H$501,'Plan prihoda za unos u SAP'!$C$3:$C$501,"=561",'Plan prihoda za unos u SAP'!$K$3:$K$501,"=651")</f>
        <v>0</v>
      </c>
      <c r="O61" s="189">
        <f>SUMIFS('Plan prihoda za unos u SAP'!$H$3:$H$501,'Plan prihoda za unos u SAP'!$C$3:$C$501,"=563",'Plan prihoda za unos u SAP'!$K$3:$K$501,"=651")</f>
        <v>0</v>
      </c>
      <c r="P61" s="189">
        <f>SUMIFS('Plan prihoda za unos u SAP'!$H$3:$H$501,'Plan prihoda za unos u SAP'!$C$3:$C$501,"=573",'Plan prihoda za unos u SAP'!$K$3:$K$501,"=651")</f>
        <v>0</v>
      </c>
      <c r="Q61" s="189">
        <f>SUMIFS('Plan prihoda za unos u SAP'!$H$3:$H$501,'Plan prihoda za unos u SAP'!$C$3:$C$501,"=575",'Plan prihoda za unos u SAP'!$K$3:$K$501,"=651")</f>
        <v>0</v>
      </c>
      <c r="R61" s="189">
        <f>SUMIFS('Plan prihoda za unos u SAP'!$H$3:$H$501,'Plan prihoda za unos u SAP'!$C$3:$C$501,"=576",'Plan prihoda za unos u SAP'!$K$3:$K$501,"=651")</f>
        <v>0</v>
      </c>
      <c r="S61" s="189">
        <f>SUMIFS('Plan prihoda za unos u SAP'!$H$3:$H$501,'Plan prihoda za unos u SAP'!$C$3:$C$501,"=61",'Plan prihoda za unos u SAP'!$K$3:$K$501,"=651")</f>
        <v>0</v>
      </c>
      <c r="T61" s="189">
        <f>SUMIFS('Plan prihoda za unos u SAP'!$H$3:$H$501,'Plan prihoda za unos u SAP'!$C$3:$C$501,"=63",'Plan prihoda za unos u SAP'!$K$3:$K$501,"=651")</f>
        <v>0</v>
      </c>
      <c r="U61" s="189">
        <f>SUMIFS('Plan prihoda za unos u SAP'!$H$3:$H$501,'Plan prihoda za unos u SAP'!$C$3:$C$501,"=71",'Plan prihoda za unos u SAP'!$K$3:$K$501,"=651")</f>
        <v>0</v>
      </c>
      <c r="V61" s="189">
        <f>SUMIFS('Plan prihoda za unos u SAP'!$H$3:$H$501,'Plan prihoda za unos u SAP'!$C$3:$C$501,"=81",'Plan prihoda za unos u SAP'!$K$3:$K$501,"=651")</f>
        <v>0</v>
      </c>
      <c r="W61" s="189">
        <f>SUMIFS('Plan prihoda za unos u SAP'!$H$3:$H$501,'Plan prihoda za unos u SAP'!$C$3:$C$501,"=83",'Plan prihoda za unos u SAP'!$K$3:$K$501,"=651")</f>
        <v>0</v>
      </c>
    </row>
    <row r="62" spans="1:29" s="90" customFormat="1">
      <c r="A62" s="90">
        <v>2022</v>
      </c>
      <c r="B62" s="95" t="s">
        <v>294</v>
      </c>
      <c r="C62" s="96" t="s">
        <v>295</v>
      </c>
      <c r="D62" s="70">
        <f t="shared" si="12"/>
        <v>5797128</v>
      </c>
      <c r="E62" s="189">
        <f>SUMIFS('Plan prihoda za unos u SAP'!$H$3:$H$501,'Plan prihoda za unos u SAP'!$C$3:$C$501,"=11",'Plan prihoda za unos u SAP'!$K$3:$K$501,"=652")</f>
        <v>0</v>
      </c>
      <c r="F62" s="189">
        <f>SUMIFS('Plan prihoda za unos u SAP'!$H$3:$H$501,'Plan prihoda za unos u SAP'!$C$3:$C$501,"=12",'Plan prihoda za unos u SAP'!$K$3:$K$501,"=652")</f>
        <v>0</v>
      </c>
      <c r="G62" s="189">
        <f>SUMIFS('Plan prihoda za unos u SAP'!$H$3:$H$501,'Plan prihoda za unos u SAP'!$C$3:$C$501,"=31",'Plan prihoda za unos u SAP'!$K$3:$K$501,"=652")</f>
        <v>0</v>
      </c>
      <c r="H62" s="189">
        <f>SUMIFS('Plan prihoda za unos u SAP'!$H$3:$H$501,'Plan prihoda za unos u SAP'!$C$3:$C$501,"=41",'Plan prihoda za unos u SAP'!$K$3:$K$501,"=652")</f>
        <v>0</v>
      </c>
      <c r="I62" s="189">
        <f>SUMIFS('Plan prihoda za unos u SAP'!$H$3:$H$501,'Plan prihoda za unos u SAP'!$C$3:$C$501,"=43",'Plan prihoda za unos u SAP'!$K$3:$K$501,"=652")</f>
        <v>5797128</v>
      </c>
      <c r="J62" s="189">
        <f>SUMIFS('Plan prihoda za unos u SAP'!$H$3:$H$501,'Plan prihoda za unos u SAP'!$C$3:$C$501,"=51",'Plan prihoda za unos u SAP'!$K$3:$K$501,"=652")</f>
        <v>0</v>
      </c>
      <c r="K62" s="189">
        <f>SUMIFS('Plan prihoda za unos u SAP'!$H$3:$H$501,'Plan prihoda za unos u SAP'!$C$3:$C$501,"=52",'Plan prihoda za unos u SAP'!$K$3:$K$501,"=652")</f>
        <v>0</v>
      </c>
      <c r="L62" s="189">
        <f>SUMIFS('Plan prihoda za unos u SAP'!$H$3:$H$501,'Plan prihoda za unos u SAP'!$C$3:$C$501,"=552",'Plan prihoda za unos u SAP'!$K$3:$K$501,"=652")</f>
        <v>0</v>
      </c>
      <c r="M62" s="189">
        <f>SUMIFS('Plan prihoda za unos u SAP'!$H$3:$H$501,'Plan prihoda za unos u SAP'!$C$3:$C$501,"=559",'Plan prihoda za unos u SAP'!$K$3:$K$501,"=652")</f>
        <v>0</v>
      </c>
      <c r="N62" s="189">
        <f>SUMIFS('Plan prihoda za unos u SAP'!$H$3:$H$501,'Plan prihoda za unos u SAP'!$C$3:$C$501,"=561",'Plan prihoda za unos u SAP'!$K$3:$K$501,"=652")</f>
        <v>0</v>
      </c>
      <c r="O62" s="189">
        <f>SUMIFS('Plan prihoda za unos u SAP'!$H$3:$H$501,'Plan prihoda za unos u SAP'!$C$3:$C$501,"=563",'Plan prihoda za unos u SAP'!$K$3:$K$501,"=652")</f>
        <v>0</v>
      </c>
      <c r="P62" s="189">
        <f>SUMIFS('Plan prihoda za unos u SAP'!$H$3:$H$501,'Plan prihoda za unos u SAP'!$C$3:$C$501,"=573",'Plan prihoda za unos u SAP'!$K$3:$K$501,"=652")</f>
        <v>0</v>
      </c>
      <c r="Q62" s="189">
        <f>SUMIFS('Plan prihoda za unos u SAP'!$H$3:$H$501,'Plan prihoda za unos u SAP'!$C$3:$C$501,"=575",'Plan prihoda za unos u SAP'!$K$3:$K$501,"=652")</f>
        <v>0</v>
      </c>
      <c r="R62" s="189">
        <f>SUMIFS('Plan prihoda za unos u SAP'!$H$3:$H$501,'Plan prihoda za unos u SAP'!$C$3:$C$501,"=576",'Plan prihoda za unos u SAP'!$K$3:$K$501,"=652")</f>
        <v>0</v>
      </c>
      <c r="S62" s="189">
        <f>SUMIFS('Plan prihoda za unos u SAP'!$H$3:$H$501,'Plan prihoda za unos u SAP'!$C$3:$C$501,"=61",'Plan prihoda za unos u SAP'!$K$3:$K$501,"=652")</f>
        <v>0</v>
      </c>
      <c r="T62" s="189">
        <f>SUMIFS('Plan prihoda za unos u SAP'!$H$3:$H$501,'Plan prihoda za unos u SAP'!$C$3:$C$501,"=63",'Plan prihoda za unos u SAP'!$K$3:$K$501,"=652")</f>
        <v>0</v>
      </c>
      <c r="U62" s="189">
        <f>SUMIFS('Plan prihoda za unos u SAP'!$H$3:$H$501,'Plan prihoda za unos u SAP'!$C$3:$C$501,"=71",'Plan prihoda za unos u SAP'!$K$3:$K$501,"=652")</f>
        <v>0</v>
      </c>
      <c r="V62" s="189">
        <f>SUMIFS('Plan prihoda za unos u SAP'!$H$3:$H$501,'Plan prihoda za unos u SAP'!$C$3:$C$501,"=81",'Plan prihoda za unos u SAP'!$K$3:$K$501,"=652")</f>
        <v>0</v>
      </c>
      <c r="W62" s="189">
        <f>SUMIFS('Plan prihoda za unos u SAP'!$H$3:$H$501,'Plan prihoda za unos u SAP'!$C$3:$C$501,"=83",'Plan prihoda za unos u SAP'!$K$3:$K$501,"=652")</f>
        <v>0</v>
      </c>
    </row>
    <row r="63" spans="1:29" s="90" customFormat="1">
      <c r="A63" s="90">
        <v>2022</v>
      </c>
      <c r="B63" s="95" t="s">
        <v>296</v>
      </c>
      <c r="C63" s="96" t="s">
        <v>297</v>
      </c>
      <c r="D63" s="70">
        <f t="shared" si="12"/>
        <v>9820000</v>
      </c>
      <c r="E63" s="189">
        <f>SUMIFS('Plan prihoda za unos u SAP'!$H$3:$H$501,'Plan prihoda za unos u SAP'!$C$3:$C$501,"=11",'Plan prihoda za unos u SAP'!$K$3:$K$501,"=661")</f>
        <v>0</v>
      </c>
      <c r="F63" s="189">
        <f>SUMIFS('Plan prihoda za unos u SAP'!$H$3:$H$501,'Plan prihoda za unos u SAP'!$C$3:$C$501,"=12",'Plan prihoda za unos u SAP'!$K$3:$K$501,"=661")</f>
        <v>0</v>
      </c>
      <c r="G63" s="189">
        <f>SUMIFS('Plan prihoda za unos u SAP'!$H$3:$H$501,'Plan prihoda za unos u SAP'!$C$3:$C$501,"=31",'Plan prihoda za unos u SAP'!$K$3:$K$501,"=661")</f>
        <v>9820000</v>
      </c>
      <c r="H63" s="189">
        <f>SUMIFS('Plan prihoda za unos u SAP'!$H$3:$H$501,'Plan prihoda za unos u SAP'!$C$3:$C$501,"=41",'Plan prihoda za unos u SAP'!$K$3:$K$501,"=661")</f>
        <v>0</v>
      </c>
      <c r="I63" s="189">
        <f>SUMIFS('Plan prihoda za unos u SAP'!$H$3:$H$501,'Plan prihoda za unos u SAP'!$C$3:$C$501,"=43",'Plan prihoda za unos u SAP'!$K$3:$K$501,"=661")</f>
        <v>0</v>
      </c>
      <c r="J63" s="189">
        <f>SUMIFS('Plan prihoda za unos u SAP'!$H$3:$H$501,'Plan prihoda za unos u SAP'!$C$3:$C$501,"=51",'Plan prihoda za unos u SAP'!$K$3:$K$501,"=661")</f>
        <v>0</v>
      </c>
      <c r="K63" s="189">
        <f>SUMIFS('Plan prihoda za unos u SAP'!$H$3:$H$501,'Plan prihoda za unos u SAP'!$C$3:$C$501,"=52",'Plan prihoda za unos u SAP'!$K$3:$K$501,"=661")</f>
        <v>0</v>
      </c>
      <c r="L63" s="189">
        <f>SUMIFS('Plan prihoda za unos u SAP'!$H$3:$H$501,'Plan prihoda za unos u SAP'!$C$3:$C$501,"=552",'Plan prihoda za unos u SAP'!$K$3:$K$501,"=661")</f>
        <v>0</v>
      </c>
      <c r="M63" s="189">
        <f>SUMIFS('Plan prihoda za unos u SAP'!$H$3:$H$501,'Plan prihoda za unos u SAP'!$C$3:$C$501,"=559",'Plan prihoda za unos u SAP'!$K$3:$K$501,"=661")</f>
        <v>0</v>
      </c>
      <c r="N63" s="189">
        <f>SUMIFS('Plan prihoda za unos u SAP'!$H$3:$H$501,'Plan prihoda za unos u SAP'!$C$3:$C$501,"=561",'Plan prihoda za unos u SAP'!$K$3:$K$501,"=661")</f>
        <v>0</v>
      </c>
      <c r="O63" s="189">
        <f>SUMIFS('Plan prihoda za unos u SAP'!$H$3:$H$501,'Plan prihoda za unos u SAP'!$C$3:$C$501,"=563",'Plan prihoda za unos u SAP'!$K$3:$K$501,"=661")</f>
        <v>0</v>
      </c>
      <c r="P63" s="189">
        <f>SUMIFS('Plan prihoda za unos u SAP'!$H$3:$H$501,'Plan prihoda za unos u SAP'!$C$3:$C$501,"=573",'Plan prihoda za unos u SAP'!$K$3:$K$501,"=661")</f>
        <v>0</v>
      </c>
      <c r="Q63" s="189">
        <f>SUMIFS('Plan prihoda za unos u SAP'!$H$3:$H$501,'Plan prihoda za unos u SAP'!$C$3:$C$501,"=575",'Plan prihoda za unos u SAP'!$K$3:$K$501,"=661")</f>
        <v>0</v>
      </c>
      <c r="R63" s="189">
        <f>SUMIFS('Plan prihoda za unos u SAP'!$H$3:$H$501,'Plan prihoda za unos u SAP'!$C$3:$C$501,"=576",'Plan prihoda za unos u SAP'!$K$3:$K$501,"=661")</f>
        <v>0</v>
      </c>
      <c r="S63" s="189">
        <f>SUMIFS('Plan prihoda za unos u SAP'!$H$3:$H$501,'Plan prihoda za unos u SAP'!$C$3:$C$501,"=61",'Plan prihoda za unos u SAP'!$K$3:$K$501,"=661")</f>
        <v>0</v>
      </c>
      <c r="T63" s="189">
        <f>SUMIFS('Plan prihoda za unos u SAP'!$H$3:$H$501,'Plan prihoda za unos u SAP'!$C$3:$C$501,"=63",'Plan prihoda za unos u SAP'!$K$3:$K$501,"=661")</f>
        <v>0</v>
      </c>
      <c r="U63" s="189">
        <f>SUMIFS('Plan prihoda za unos u SAP'!$H$3:$H$501,'Plan prihoda za unos u SAP'!$C$3:$C$501,"=71",'Plan prihoda za unos u SAP'!$K$3:$K$501,"=661")</f>
        <v>0</v>
      </c>
      <c r="V63" s="189">
        <f>SUMIFS('Plan prihoda za unos u SAP'!$H$3:$H$501,'Plan prihoda za unos u SAP'!$C$3:$C$501,"=81",'Plan prihoda za unos u SAP'!$K$3:$K$501,"=661")</f>
        <v>0</v>
      </c>
      <c r="W63" s="189">
        <f>SUMIFS('Plan prihoda za unos u SAP'!$H$3:$H$501,'Plan prihoda za unos u SAP'!$C$3:$C$501,"=83",'Plan prihoda za unos u SAP'!$K$3:$K$501,"=661")</f>
        <v>0</v>
      </c>
    </row>
    <row r="64" spans="1:29" s="90" customFormat="1">
      <c r="A64" s="90">
        <v>2022</v>
      </c>
      <c r="B64" s="95" t="s">
        <v>298</v>
      </c>
      <c r="C64" s="96" t="s">
        <v>299</v>
      </c>
      <c r="D64" s="70">
        <f t="shared" si="12"/>
        <v>115000</v>
      </c>
      <c r="E64" s="189">
        <f>SUMIFS('Plan prihoda za unos u SAP'!$H$3:$H$501,'Plan prihoda za unos u SAP'!$C$3:$C$501,"=11",'Plan prihoda za unos u SAP'!$K$3:$K$501,"=663")</f>
        <v>0</v>
      </c>
      <c r="F64" s="189">
        <f>SUMIFS('Plan prihoda za unos u SAP'!$H$3:$H$501,'Plan prihoda za unos u SAP'!$C$3:$C$501,"=12",'Plan prihoda za unos u SAP'!$K$3:$K$501,"=663")</f>
        <v>0</v>
      </c>
      <c r="G64" s="189">
        <f>SUMIFS('Plan prihoda za unos u SAP'!$H$3:$H$501,'Plan prihoda za unos u SAP'!$C$3:$C$501,"=31",'Plan prihoda za unos u SAP'!$K$3:$K$501,"=663")</f>
        <v>0</v>
      </c>
      <c r="H64" s="189">
        <f>SUMIFS('Plan prihoda za unos u SAP'!$H$3:$H$501,'Plan prihoda za unos u SAP'!$C$3:$C$501,"=41",'Plan prihoda za unos u SAP'!$K$3:$K$501,"=663")</f>
        <v>0</v>
      </c>
      <c r="I64" s="189">
        <f>SUMIFS('Plan prihoda za unos u SAP'!$H$3:$H$501,'Plan prihoda za unos u SAP'!$C$3:$C$501,"=43",'Plan prihoda za unos u SAP'!$K$3:$K$501,"=663")</f>
        <v>0</v>
      </c>
      <c r="J64" s="189">
        <f>SUMIFS('Plan prihoda za unos u SAP'!$H$3:$H$501,'Plan prihoda za unos u SAP'!$C$3:$C$501,"=51",'Plan prihoda za unos u SAP'!$K$3:$K$501,"=663")</f>
        <v>0</v>
      </c>
      <c r="K64" s="189">
        <f>SUMIFS('Plan prihoda za unos u SAP'!$H$3:$H$501,'Plan prihoda za unos u SAP'!$C$3:$C$501,"=52",'Plan prihoda za unos u SAP'!$K$3:$K$501,"=663")</f>
        <v>0</v>
      </c>
      <c r="L64" s="189">
        <f>SUMIFS('Plan prihoda za unos u SAP'!$H$3:$H$501,'Plan prihoda za unos u SAP'!$C$3:$C$501,"=552",'Plan prihoda za unos u SAP'!$K$3:$K$501,"=663")</f>
        <v>0</v>
      </c>
      <c r="M64" s="189">
        <f>SUMIFS('Plan prihoda za unos u SAP'!$H$3:$H$501,'Plan prihoda za unos u SAP'!$C$3:$C$501,"=559",'Plan prihoda za unos u SAP'!$K$3:$K$501,"=663")</f>
        <v>0</v>
      </c>
      <c r="N64" s="189">
        <f>SUMIFS('Plan prihoda za unos u SAP'!$H$3:$H$501,'Plan prihoda za unos u SAP'!$C$3:$C$501,"=561",'Plan prihoda za unos u SAP'!$K$3:$K$501,"=663")</f>
        <v>0</v>
      </c>
      <c r="O64" s="189">
        <f>SUMIFS('Plan prihoda za unos u SAP'!$H$3:$H$501,'Plan prihoda za unos u SAP'!$C$3:$C$501,"=563",'Plan prihoda za unos u SAP'!$K$3:$K$501,"=663")</f>
        <v>0</v>
      </c>
      <c r="P64" s="189">
        <f>SUMIFS('Plan prihoda za unos u SAP'!$H$3:$H$501,'Plan prihoda za unos u SAP'!$C$3:$C$501,"=573",'Plan prihoda za unos u SAP'!$K$3:$K$501,"=663")</f>
        <v>0</v>
      </c>
      <c r="Q64" s="189">
        <f>SUMIFS('Plan prihoda za unos u SAP'!$H$3:$H$501,'Plan prihoda za unos u SAP'!$C$3:$C$501,"=575",'Plan prihoda za unos u SAP'!$K$3:$K$501,"=663")</f>
        <v>0</v>
      </c>
      <c r="R64" s="189">
        <f>SUMIFS('Plan prihoda za unos u SAP'!$H$3:$H$501,'Plan prihoda za unos u SAP'!$C$3:$C$501,"=576",'Plan prihoda za unos u SAP'!$K$3:$K$501,"=663")</f>
        <v>0</v>
      </c>
      <c r="S64" s="189">
        <f>SUMIFS('Plan prihoda za unos u SAP'!$H$3:$H$501,'Plan prihoda za unos u SAP'!$C$3:$C$501,"=61",'Plan prihoda za unos u SAP'!$K$3:$K$501,"=663")</f>
        <v>115000</v>
      </c>
      <c r="T64" s="189">
        <f>SUMIFS('Plan prihoda za unos u SAP'!$H$3:$H$501,'Plan prihoda za unos u SAP'!$C$3:$C$501,"=63",'Plan prihoda za unos u SAP'!$K$3:$K$501,"=663")</f>
        <v>0</v>
      </c>
      <c r="U64" s="189">
        <f>SUMIFS('Plan prihoda za unos u SAP'!$H$3:$H$501,'Plan prihoda za unos u SAP'!$C$3:$C$501,"=71",'Plan prihoda za unos u SAP'!$K$3:$K$501,"=663")</f>
        <v>0</v>
      </c>
      <c r="V64" s="189">
        <f>SUMIFS('Plan prihoda za unos u SAP'!$H$3:$H$501,'Plan prihoda za unos u SAP'!$C$3:$C$501,"=81",'Plan prihoda za unos u SAP'!$K$3:$K$501,"=663")</f>
        <v>0</v>
      </c>
      <c r="W64" s="189">
        <f>SUMIFS('Plan prihoda za unos u SAP'!$H$3:$H$501,'Plan prihoda za unos u SAP'!$C$3:$C$501,"=83",'Plan prihoda za unos u SAP'!$K$3:$K$501,"=663")</f>
        <v>0</v>
      </c>
    </row>
    <row r="65" spans="1:23" s="90" customFormat="1" ht="25.5">
      <c r="A65" s="90">
        <v>2022</v>
      </c>
      <c r="B65" s="95" t="s">
        <v>300</v>
      </c>
      <c r="C65" s="96" t="s">
        <v>260</v>
      </c>
      <c r="D65" s="70">
        <f t="shared" si="12"/>
        <v>156373015</v>
      </c>
      <c r="E65" s="189">
        <f>SUMIFS('Plan prihoda za unos u SAP'!$H$3:$H$501,'Plan prihoda za unos u SAP'!$C$3:$C$501,"=11",'Plan prihoda za unos u SAP'!$K$3:$K$501,"=671")</f>
        <v>156373015</v>
      </c>
      <c r="F65" s="189">
        <f>SUMIFS('Plan prihoda za unos u SAP'!$H$3:$H$501,'Plan prihoda za unos u SAP'!$C$3:$C$501,"=12",'Plan prihoda za unos u SAP'!$K$3:$K$501,"=671")</f>
        <v>0</v>
      </c>
      <c r="G65" s="189">
        <f>SUMIFS('Plan prihoda za unos u SAP'!$H$3:$H$501,'Plan prihoda za unos u SAP'!$C$3:$C$501,"=31",'Plan prihoda za unos u SAP'!$K$3:$K$501,"=671")</f>
        <v>0</v>
      </c>
      <c r="H65" s="189">
        <f>SUMIFS('Plan prihoda za unos u SAP'!$H$3:$H$501,'Plan prihoda za unos u SAP'!$C$3:$C$501,"=41",'Plan prihoda za unos u SAP'!$K$3:$K$501,"=671")</f>
        <v>0</v>
      </c>
      <c r="I65" s="189">
        <f>SUMIFS('Plan prihoda za unos u SAP'!$H$3:$H$501,'Plan prihoda za unos u SAP'!$C$3:$C$501,"=43",'Plan prihoda za unos u SAP'!$K$3:$K$501,"=671")</f>
        <v>0</v>
      </c>
      <c r="J65" s="189">
        <f>SUMIFS('Plan prihoda za unos u SAP'!$H$3:$H$501,'Plan prihoda za unos u SAP'!$C$3:$C$501,"=51",'Plan prihoda za unos u SAP'!$K$3:$K$501,"=671")</f>
        <v>0</v>
      </c>
      <c r="K65" s="189">
        <f>SUMIFS('Plan prihoda za unos u SAP'!$H$3:$H$501,'Plan prihoda za unos u SAP'!$C$3:$C$501,"=52",'Plan prihoda za unos u SAP'!$K$3:$K$501,"=671")</f>
        <v>0</v>
      </c>
      <c r="L65" s="189">
        <f>SUMIFS('Plan prihoda za unos u SAP'!$H$3:$H$501,'Plan prihoda za unos u SAP'!$C$3:$C$501,"=552",'Plan prihoda za unos u SAP'!$K$3:$K$501,"=671")</f>
        <v>0</v>
      </c>
      <c r="M65" s="189">
        <f>SUMIFS('Plan prihoda za unos u SAP'!$H$3:$H$501,'Plan prihoda za unos u SAP'!$C$3:$C$501,"=559",'Plan prihoda za unos u SAP'!$K$3:$K$501,"=671")</f>
        <v>0</v>
      </c>
      <c r="N65" s="189">
        <f>SUMIFS('Plan prihoda za unos u SAP'!$H$3:$H$501,'Plan prihoda za unos u SAP'!$C$3:$C$501,"=561",'Plan prihoda za unos u SAP'!$K$3:$K$501,"=671")</f>
        <v>0</v>
      </c>
      <c r="O65" s="189">
        <f>SUMIFS('Plan prihoda za unos u SAP'!$H$3:$H$501,'Plan prihoda za unos u SAP'!$C$3:$C$501,"=563",'Plan prihoda za unos u SAP'!$K$3:$K$501,"=671")</f>
        <v>0</v>
      </c>
      <c r="P65" s="189">
        <f>SUMIFS('Plan prihoda za unos u SAP'!$H$3:$H$501,'Plan prihoda za unos u SAP'!$C$3:$C$501,"=573",'Plan prihoda za unos u SAP'!$K$3:$K$501,"=671")</f>
        <v>0</v>
      </c>
      <c r="Q65" s="189">
        <f>SUMIFS('Plan prihoda za unos u SAP'!$H$3:$H$501,'Plan prihoda za unos u SAP'!$C$3:$C$501,"=575",'Plan prihoda za unos u SAP'!$K$3:$K$501,"=671")</f>
        <v>0</v>
      </c>
      <c r="R65" s="189">
        <f>SUMIFS('Plan prihoda za unos u SAP'!$H$3:$H$501,'Plan prihoda za unos u SAP'!$C$3:$C$501,"=576",'Plan prihoda za unos u SAP'!$K$3:$K$501,"=671")</f>
        <v>0</v>
      </c>
      <c r="S65" s="189">
        <f>SUMIFS('Plan prihoda za unos u SAP'!$H$3:$H$501,'Plan prihoda za unos u SAP'!$C$3:$C$501,"=61",'Plan prihoda za unos u SAP'!$K$3:$K$501,"=671")</f>
        <v>0</v>
      </c>
      <c r="T65" s="189">
        <f>SUMIFS('Plan prihoda za unos u SAP'!$H$3:$H$501,'Plan prihoda za unos u SAP'!$C$3:$C$501,"=63",'Plan prihoda za unos u SAP'!$K$3:$K$501,"=671")</f>
        <v>0</v>
      </c>
      <c r="U65" s="189">
        <f>SUMIFS('Plan prihoda za unos u SAP'!$H$3:$H$501,'Plan prihoda za unos u SAP'!$C$3:$C$501,"=71",'Plan prihoda za unos u SAP'!$K$3:$K$501,"=671")</f>
        <v>0</v>
      </c>
      <c r="V65" s="189">
        <f>SUMIFS('Plan prihoda za unos u SAP'!$H$3:$H$501,'Plan prihoda za unos u SAP'!$C$3:$C$501,"=81",'Plan prihoda za unos u SAP'!$K$3:$K$501,"=671")</f>
        <v>0</v>
      </c>
      <c r="W65" s="189">
        <f>SUMIFS('Plan prihoda za unos u SAP'!$H$3:$H$501,'Plan prihoda za unos u SAP'!$C$3:$C$501,"=83",'Plan prihoda za unos u SAP'!$K$3:$K$501,"=671")</f>
        <v>0</v>
      </c>
    </row>
    <row r="66" spans="1:23" s="90" customFormat="1">
      <c r="A66" s="90">
        <v>2022</v>
      </c>
      <c r="B66" s="95" t="s">
        <v>301</v>
      </c>
      <c r="C66" s="96" t="s">
        <v>302</v>
      </c>
      <c r="D66" s="70">
        <f t="shared" si="12"/>
        <v>0</v>
      </c>
      <c r="E66" s="189">
        <f>SUMIFS('Plan prihoda za unos u SAP'!$H$3:$H$501,'Plan prihoda za unos u SAP'!$C$3:$C$501,"=11",'Plan prihoda za unos u SAP'!$K$3:$K$501,"=681")</f>
        <v>0</v>
      </c>
      <c r="F66" s="189">
        <f>SUMIFS('Plan prihoda za unos u SAP'!$H$3:$H$501,'Plan prihoda za unos u SAP'!$C$3:$C$501,"=12",'Plan prihoda za unos u SAP'!$K$3:$K$501,"=681")</f>
        <v>0</v>
      </c>
      <c r="G66" s="189">
        <f>SUMIFS('Plan prihoda za unos u SAP'!$H$3:$H$501,'Plan prihoda za unos u SAP'!$C$3:$C$501,"=31",'Plan prihoda za unos u SAP'!$K$3:$K$501,"=681")</f>
        <v>0</v>
      </c>
      <c r="H66" s="189">
        <f>SUMIFS('Plan prihoda za unos u SAP'!$H$3:$H$501,'Plan prihoda za unos u SAP'!$C$3:$C$501,"=41",'Plan prihoda za unos u SAP'!$K$3:$K$501,"=681")</f>
        <v>0</v>
      </c>
      <c r="I66" s="189">
        <f>SUMIFS('Plan prihoda za unos u SAP'!$H$3:$H$501,'Plan prihoda za unos u SAP'!$C$3:$C$501,"=43",'Plan prihoda za unos u SAP'!$K$3:$K$501,"=681")</f>
        <v>0</v>
      </c>
      <c r="J66" s="189">
        <f>SUMIFS('Plan prihoda za unos u SAP'!$H$3:$H$501,'Plan prihoda za unos u SAP'!$C$3:$C$501,"=51",'Plan prihoda za unos u SAP'!$K$3:$K$501,"=681")</f>
        <v>0</v>
      </c>
      <c r="K66" s="189">
        <f>SUMIFS('Plan prihoda za unos u SAP'!$H$3:$H$501,'Plan prihoda za unos u SAP'!$C$3:$C$501,"=52",'Plan prihoda za unos u SAP'!$K$3:$K$501,"=681")</f>
        <v>0</v>
      </c>
      <c r="L66" s="189">
        <f>SUMIFS('Plan prihoda za unos u SAP'!$H$3:$H$501,'Plan prihoda za unos u SAP'!$C$3:$C$501,"=552",'Plan prihoda za unos u SAP'!$K$3:$K$501,"=681")</f>
        <v>0</v>
      </c>
      <c r="M66" s="189">
        <f>SUMIFS('Plan prihoda za unos u SAP'!$H$3:$H$501,'Plan prihoda za unos u SAP'!$C$3:$C$501,"=559",'Plan prihoda za unos u SAP'!$K$3:$K$501,"=681")</f>
        <v>0</v>
      </c>
      <c r="N66" s="189">
        <f>SUMIFS('Plan prihoda za unos u SAP'!$H$3:$H$501,'Plan prihoda za unos u SAP'!$C$3:$C$501,"=561",'Plan prihoda za unos u SAP'!$K$3:$K$501,"=681")</f>
        <v>0</v>
      </c>
      <c r="O66" s="189">
        <f>SUMIFS('Plan prihoda za unos u SAP'!$H$3:$H$501,'Plan prihoda za unos u SAP'!$C$3:$C$501,"=563",'Plan prihoda za unos u SAP'!$K$3:$K$501,"=681")</f>
        <v>0</v>
      </c>
      <c r="P66" s="189">
        <f>SUMIFS('Plan prihoda za unos u SAP'!$H$3:$H$501,'Plan prihoda za unos u SAP'!$C$3:$C$501,"=573",'Plan prihoda za unos u SAP'!$K$3:$K$501,"=681")</f>
        <v>0</v>
      </c>
      <c r="Q66" s="189">
        <f>SUMIFS('Plan prihoda za unos u SAP'!$H$3:$H$501,'Plan prihoda za unos u SAP'!$C$3:$C$501,"=575",'Plan prihoda za unos u SAP'!$K$3:$K$501,"=681")</f>
        <v>0</v>
      </c>
      <c r="R66" s="189">
        <f>SUMIFS('Plan prihoda za unos u SAP'!$H$3:$H$501,'Plan prihoda za unos u SAP'!$C$3:$C$501,"=576",'Plan prihoda za unos u SAP'!$K$3:$K$501,"=681")</f>
        <v>0</v>
      </c>
      <c r="S66" s="189">
        <f>SUMIFS('Plan prihoda za unos u SAP'!$H$3:$H$501,'Plan prihoda za unos u SAP'!$C$3:$C$501,"=61",'Plan prihoda za unos u SAP'!$K$3:$K$501,"=681")</f>
        <v>0</v>
      </c>
      <c r="T66" s="189">
        <f>SUMIFS('Plan prihoda za unos u SAP'!$H$3:$H$501,'Plan prihoda za unos u SAP'!$C$3:$C$501,"=63",'Plan prihoda za unos u SAP'!$K$3:$K$501,"=681")</f>
        <v>0</v>
      </c>
      <c r="U66" s="189">
        <f>SUMIFS('Plan prihoda za unos u SAP'!$H$3:$H$501,'Plan prihoda za unos u SAP'!$C$3:$C$501,"=71",'Plan prihoda za unos u SAP'!$K$3:$K$501,"=681")</f>
        <v>0</v>
      </c>
      <c r="V66" s="189">
        <f>SUMIFS('Plan prihoda za unos u SAP'!$H$3:$H$501,'Plan prihoda za unos u SAP'!$C$3:$C$501,"=81",'Plan prihoda za unos u SAP'!$K$3:$K$501,"=681")</f>
        <v>0</v>
      </c>
      <c r="W66" s="189">
        <f>SUMIFS('Plan prihoda za unos u SAP'!$H$3:$H$501,'Plan prihoda za unos u SAP'!$C$3:$C$501,"=83",'Plan prihoda za unos u SAP'!$K$3:$K$501,"=681")</f>
        <v>0</v>
      </c>
    </row>
    <row r="67" spans="1:23" s="90" customFormat="1">
      <c r="A67" s="90">
        <v>2022</v>
      </c>
      <c r="B67" s="95" t="s">
        <v>303</v>
      </c>
      <c r="C67" s="96" t="s">
        <v>304</v>
      </c>
      <c r="D67" s="70">
        <f t="shared" si="12"/>
        <v>0</v>
      </c>
      <c r="E67" s="189">
        <f>SUMIFS('Plan prihoda za unos u SAP'!$H$3:$H$501,'Plan prihoda za unos u SAP'!$C$3:$C$501,"=11",'Plan prihoda za unos u SAP'!$K$3:$K$501,"=683")</f>
        <v>0</v>
      </c>
      <c r="F67" s="189">
        <f>SUMIFS('Plan prihoda za unos u SAP'!$H$3:$H$501,'Plan prihoda za unos u SAP'!$C$3:$C$501,"=12",'Plan prihoda za unos u SAP'!$K$3:$K$501,"=683")</f>
        <v>0</v>
      </c>
      <c r="G67" s="189">
        <f>SUMIFS('Plan prihoda za unos u SAP'!$H$3:$H$501,'Plan prihoda za unos u SAP'!$C$3:$C$501,"=31",'Plan prihoda za unos u SAP'!$K$3:$K$501,"=683")</f>
        <v>0</v>
      </c>
      <c r="H67" s="189">
        <f>SUMIFS('Plan prihoda za unos u SAP'!$H$3:$H$501,'Plan prihoda za unos u SAP'!$C$3:$C$501,"=41",'Plan prihoda za unos u SAP'!$K$3:$K$501,"=683")</f>
        <v>0</v>
      </c>
      <c r="I67" s="189">
        <f>SUMIFS('Plan prihoda za unos u SAP'!$H$3:$H$501,'Plan prihoda za unos u SAP'!$C$3:$C$501,"=43",'Plan prihoda za unos u SAP'!$K$3:$K$501,"=683")</f>
        <v>0</v>
      </c>
      <c r="J67" s="189">
        <f>SUMIFS('Plan prihoda za unos u SAP'!$H$3:$H$501,'Plan prihoda za unos u SAP'!$C$3:$C$501,"=51",'Plan prihoda za unos u SAP'!$K$3:$K$501,"=683")</f>
        <v>0</v>
      </c>
      <c r="K67" s="189">
        <f>SUMIFS('Plan prihoda za unos u SAP'!$H$3:$H$501,'Plan prihoda za unos u SAP'!$C$3:$C$501,"=52",'Plan prihoda za unos u SAP'!$K$3:$K$501,"=683")</f>
        <v>0</v>
      </c>
      <c r="L67" s="189">
        <f>SUMIFS('Plan prihoda za unos u SAP'!$H$3:$H$501,'Plan prihoda za unos u SAP'!$C$3:$C$501,"=552",'Plan prihoda za unos u SAP'!$K$3:$K$501,"=683")</f>
        <v>0</v>
      </c>
      <c r="M67" s="189">
        <f>SUMIFS('Plan prihoda za unos u SAP'!$H$3:$H$501,'Plan prihoda za unos u SAP'!$C$3:$C$501,"=559",'Plan prihoda za unos u SAP'!$K$3:$K$501,"=683")</f>
        <v>0</v>
      </c>
      <c r="N67" s="189">
        <f>SUMIFS('Plan prihoda za unos u SAP'!$H$3:$H$501,'Plan prihoda za unos u SAP'!$C$3:$C$501,"=561",'Plan prihoda za unos u SAP'!$K$3:$K$501,"=683")</f>
        <v>0</v>
      </c>
      <c r="O67" s="189">
        <f>SUMIFS('Plan prihoda za unos u SAP'!$H$3:$H$501,'Plan prihoda za unos u SAP'!$C$3:$C$501,"=563",'Plan prihoda za unos u SAP'!$K$3:$K$501,"=683")</f>
        <v>0</v>
      </c>
      <c r="P67" s="189">
        <f>SUMIFS('Plan prihoda za unos u SAP'!$H$3:$H$501,'Plan prihoda za unos u SAP'!$C$3:$C$501,"=573",'Plan prihoda za unos u SAP'!$K$3:$K$501,"=683")</f>
        <v>0</v>
      </c>
      <c r="Q67" s="189">
        <f>SUMIFS('Plan prihoda za unos u SAP'!$H$3:$H$501,'Plan prihoda za unos u SAP'!$C$3:$C$501,"=575",'Plan prihoda za unos u SAP'!$K$3:$K$501,"=683")</f>
        <v>0</v>
      </c>
      <c r="R67" s="189">
        <f>SUMIFS('Plan prihoda za unos u SAP'!$H$3:$H$501,'Plan prihoda za unos u SAP'!$C$3:$C$501,"=576",'Plan prihoda za unos u SAP'!$K$3:$K$501,"=683")</f>
        <v>0</v>
      </c>
      <c r="S67" s="189">
        <f>SUMIFS('Plan prihoda za unos u SAP'!$H$3:$H$501,'Plan prihoda za unos u SAP'!$C$3:$C$501,"=61",'Plan prihoda za unos u SAP'!$K$3:$K$501,"=683")</f>
        <v>0</v>
      </c>
      <c r="T67" s="189">
        <f>SUMIFS('Plan prihoda za unos u SAP'!$H$3:$H$501,'Plan prihoda za unos u SAP'!$C$3:$C$501,"=63",'Plan prihoda za unos u SAP'!$K$3:$K$501,"=683")</f>
        <v>0</v>
      </c>
      <c r="U67" s="189">
        <f>SUMIFS('Plan prihoda za unos u SAP'!$H$3:$H$501,'Plan prihoda za unos u SAP'!$C$3:$C$501,"=71",'Plan prihoda za unos u SAP'!$K$3:$K$501,"=683")</f>
        <v>0</v>
      </c>
      <c r="V67" s="189">
        <f>SUMIFS('Plan prihoda za unos u SAP'!$H$3:$H$501,'Plan prihoda za unos u SAP'!$C$3:$C$501,"=81",'Plan prihoda za unos u SAP'!$K$3:$K$501,"=683")</f>
        <v>0</v>
      </c>
      <c r="W67" s="189">
        <f>SUMIFS('Plan prihoda za unos u SAP'!$H$3:$H$501,'Plan prihoda za unos u SAP'!$C$3:$C$501,"=83",'Plan prihoda za unos u SAP'!$K$3:$K$501,"=683")</f>
        <v>0</v>
      </c>
    </row>
    <row r="68" spans="1:23" s="90" customFormat="1">
      <c r="A68" s="90">
        <v>2022</v>
      </c>
      <c r="B68" s="98" t="s">
        <v>305</v>
      </c>
      <c r="C68" s="99" t="s">
        <v>306</v>
      </c>
      <c r="D68" s="70">
        <f t="shared" si="12"/>
        <v>175228021</v>
      </c>
      <c r="E68" s="4">
        <f>SUM(E52:E67)</f>
        <v>156373015</v>
      </c>
      <c r="F68" s="4">
        <f t="shared" ref="F68:W68" si="16">SUM(F52:F67)</f>
        <v>0</v>
      </c>
      <c r="G68" s="4">
        <f t="shared" si="16"/>
        <v>9835000</v>
      </c>
      <c r="H68" s="4">
        <f t="shared" si="16"/>
        <v>0</v>
      </c>
      <c r="I68" s="4">
        <f t="shared" si="16"/>
        <v>5797128</v>
      </c>
      <c r="J68" s="4">
        <f>SUM(J52:J67)</f>
        <v>3007878</v>
      </c>
      <c r="K68" s="4">
        <f t="shared" si="16"/>
        <v>100000</v>
      </c>
      <c r="L68" s="4">
        <f t="shared" si="16"/>
        <v>0</v>
      </c>
      <c r="M68" s="4">
        <f t="shared" si="16"/>
        <v>0</v>
      </c>
      <c r="N68" s="4">
        <f t="shared" si="16"/>
        <v>0</v>
      </c>
      <c r="O68" s="4">
        <f t="shared" si="16"/>
        <v>0</v>
      </c>
      <c r="P68" s="4">
        <f t="shared" si="16"/>
        <v>0</v>
      </c>
      <c r="Q68" s="4">
        <f t="shared" si="16"/>
        <v>0</v>
      </c>
      <c r="R68" s="4">
        <f t="shared" ref="R68" si="17">SUM(R52:R67)</f>
        <v>0</v>
      </c>
      <c r="S68" s="4">
        <f t="shared" si="16"/>
        <v>115000</v>
      </c>
      <c r="T68" s="4">
        <f t="shared" si="16"/>
        <v>0</v>
      </c>
      <c r="U68" s="4">
        <f t="shared" si="16"/>
        <v>0</v>
      </c>
      <c r="V68" s="4">
        <f t="shared" si="16"/>
        <v>0</v>
      </c>
      <c r="W68" s="4">
        <f t="shared" si="16"/>
        <v>0</v>
      </c>
    </row>
    <row r="69" spans="1:23" s="90" customFormat="1">
      <c r="A69" s="90">
        <v>2022</v>
      </c>
      <c r="B69" s="95" t="s">
        <v>318</v>
      </c>
      <c r="C69" s="100" t="s">
        <v>319</v>
      </c>
      <c r="D69" s="70">
        <f t="shared" si="12"/>
        <v>0</v>
      </c>
      <c r="E69" s="189">
        <f>SUMIFS('Plan prihoda za unos u SAP'!$H$3:$H$501,'Plan prihoda za unos u SAP'!$C$3:$C$501,"=11",'Plan prihoda za unos u SAP'!$K$3:$K$501,"=711")</f>
        <v>0</v>
      </c>
      <c r="F69" s="189">
        <f>SUMIFS('Plan prihoda za unos u SAP'!$H$3:$H$501,'Plan prihoda za unos u SAP'!$C$3:$C$501,"=12",'Plan prihoda za unos u SAP'!$K$3:$K$501,"=711")</f>
        <v>0</v>
      </c>
      <c r="G69" s="189">
        <f>SUMIFS('Plan prihoda za unos u SAP'!$H$3:$H$501,'Plan prihoda za unos u SAP'!$C$3:$C$501,"=31",'Plan prihoda za unos u SAP'!$K$3:$K$501,"=711")</f>
        <v>0</v>
      </c>
      <c r="H69" s="189">
        <f>SUMIFS('Plan prihoda za unos u SAP'!$H$3:$H$501,'Plan prihoda za unos u SAP'!$C$3:$C$501,"=41",'Plan prihoda za unos u SAP'!$K$3:$K$501,"=711")</f>
        <v>0</v>
      </c>
      <c r="I69" s="189">
        <f>SUMIFS('Plan prihoda za unos u SAP'!$H$3:$H$501,'Plan prihoda za unos u SAP'!$C$3:$C$501,"=43",'Plan prihoda za unos u SAP'!$K$3:$K$501,"=711")</f>
        <v>0</v>
      </c>
      <c r="J69" s="189">
        <f>SUMIFS('Plan prihoda za unos u SAP'!$H$3:$H$501,'Plan prihoda za unos u SAP'!$C$3:$C$501,"=51",'Plan prihoda za unos u SAP'!$K$3:$K$501,"=711")</f>
        <v>0</v>
      </c>
      <c r="K69" s="189">
        <f>SUMIFS('Plan prihoda za unos u SAP'!$H$3:$H$501,'Plan prihoda za unos u SAP'!$C$3:$C$501,"=52",'Plan prihoda za unos u SAP'!$K$3:$K$501,"=711")</f>
        <v>0</v>
      </c>
      <c r="L69" s="189">
        <f>SUMIFS('Plan prihoda za unos u SAP'!$H$3:$H$501,'Plan prihoda za unos u SAP'!$C$3:$C$501,"=552",'Plan prihoda za unos u SAP'!$K$3:$K$501,"=711")</f>
        <v>0</v>
      </c>
      <c r="M69" s="189">
        <f>SUMIFS('Plan prihoda za unos u SAP'!$H$3:$H$501,'Plan prihoda za unos u SAP'!$C$3:$C$501,"=559",'Plan prihoda za unos u SAP'!$K$3:$K$501,"=711")</f>
        <v>0</v>
      </c>
      <c r="N69" s="189">
        <f>SUMIFS('Plan prihoda za unos u SAP'!$H$3:$H$501,'Plan prihoda za unos u SAP'!$C$3:$C$501,"=561",'Plan prihoda za unos u SAP'!$K$3:$K$501,"=711")</f>
        <v>0</v>
      </c>
      <c r="O69" s="189">
        <f>SUMIFS('Plan prihoda za unos u SAP'!$H$3:$H$501,'Plan prihoda za unos u SAP'!$C$3:$C$501,"=563",'Plan prihoda za unos u SAP'!$K$3:$K$501,"=711")</f>
        <v>0</v>
      </c>
      <c r="P69" s="189">
        <f>SUMIFS('Plan prihoda za unos u SAP'!$H$3:$H$501,'Plan prihoda za unos u SAP'!$C$3:$C$501,"=573",'Plan prihoda za unos u SAP'!$K$3:$K$501,"=711")</f>
        <v>0</v>
      </c>
      <c r="Q69" s="189">
        <f>SUMIFS('Plan prihoda za unos u SAP'!$H$3:$H$501,'Plan prihoda za unos u SAP'!$C$3:$C$501,"=575",'Plan prihoda za unos u SAP'!$K$3:$K$501,"=711")</f>
        <v>0</v>
      </c>
      <c r="R69" s="189">
        <f>SUMIFS('Plan prihoda za unos u SAP'!$H$3:$H$501,'Plan prihoda za unos u SAP'!$C$3:$C$501,"=576",'Plan prihoda za unos u SAP'!$K$3:$K$501,"=711")</f>
        <v>0</v>
      </c>
      <c r="S69" s="189">
        <f>SUMIFS('Plan prihoda za unos u SAP'!$H$3:$H$501,'Plan prihoda za unos u SAP'!$C$3:$C$501,"=61",'Plan prihoda za unos u SAP'!$K$3:$K$501,"=711")</f>
        <v>0</v>
      </c>
      <c r="T69" s="189">
        <f>SUMIFS('Plan prihoda za unos u SAP'!$H$3:$H$501,'Plan prihoda za unos u SAP'!$C$3:$C$501,"=63",'Plan prihoda za unos u SAP'!$K$3:$K$501,"=711")</f>
        <v>0</v>
      </c>
      <c r="U69" s="189">
        <f>SUMIFS('Plan prihoda za unos u SAP'!$H$3:$H$501,'Plan prihoda za unos u SAP'!$C$3:$C$501,"=71",'Plan prihoda za unos u SAP'!$K$3:$K$501,"=711")</f>
        <v>0</v>
      </c>
      <c r="V69" s="189">
        <f>SUMIFS('Plan prihoda za unos u SAP'!$H$3:$H$501,'Plan prihoda za unos u SAP'!$C$3:$C$501,"=81",'Plan prihoda za unos u SAP'!$K$3:$K$501,"=711")</f>
        <v>0</v>
      </c>
      <c r="W69" s="189">
        <f>SUMIFS('Plan prihoda za unos u SAP'!$H$3:$H$501,'Plan prihoda za unos u SAP'!$C$3:$C$501,"=83",'Plan prihoda za unos u SAP'!$K$3:$K$501,"=711")</f>
        <v>0</v>
      </c>
    </row>
    <row r="70" spans="1:23" s="90" customFormat="1">
      <c r="A70" s="90">
        <v>2022</v>
      </c>
      <c r="B70" s="95" t="s">
        <v>320</v>
      </c>
      <c r="C70" s="100" t="s">
        <v>321</v>
      </c>
      <c r="D70" s="70">
        <f t="shared" si="12"/>
        <v>0</v>
      </c>
      <c r="E70" s="189">
        <f>SUMIFS('Plan prihoda za unos u SAP'!$H$3:$H$501,'Plan prihoda za unos u SAP'!$C$3:$C$501,"=11",'Plan prihoda za unos u SAP'!$K$3:$K$501,"=712")</f>
        <v>0</v>
      </c>
      <c r="F70" s="189">
        <f>SUMIFS('Plan prihoda za unos u SAP'!$H$3:$H$501,'Plan prihoda za unos u SAP'!$C$3:$C$501,"=12",'Plan prihoda za unos u SAP'!$K$3:$K$501,"=712")</f>
        <v>0</v>
      </c>
      <c r="G70" s="189">
        <f>SUMIFS('Plan prihoda za unos u SAP'!$H$3:$H$501,'Plan prihoda za unos u SAP'!$C$3:$C$501,"=31",'Plan prihoda za unos u SAP'!$K$3:$K$501,"=712")</f>
        <v>0</v>
      </c>
      <c r="H70" s="189">
        <f>SUMIFS('Plan prihoda za unos u SAP'!$H$3:$H$501,'Plan prihoda za unos u SAP'!$C$3:$C$501,"=41",'Plan prihoda za unos u SAP'!$K$3:$K$501,"=712")</f>
        <v>0</v>
      </c>
      <c r="I70" s="189">
        <f>SUMIFS('Plan prihoda za unos u SAP'!$H$3:$H$501,'Plan prihoda za unos u SAP'!$C$3:$C$501,"=43",'Plan prihoda za unos u SAP'!$K$3:$K$501,"=712")</f>
        <v>0</v>
      </c>
      <c r="J70" s="189">
        <f>SUMIFS('Plan prihoda za unos u SAP'!$H$3:$H$501,'Plan prihoda za unos u SAP'!$C$3:$C$501,"=51",'Plan prihoda za unos u SAP'!$K$3:$K$501,"=712")</f>
        <v>0</v>
      </c>
      <c r="K70" s="189">
        <f>SUMIFS('Plan prihoda za unos u SAP'!$H$3:$H$501,'Plan prihoda za unos u SAP'!$C$3:$C$501,"=52",'Plan prihoda za unos u SAP'!$K$3:$K$501,"=712")</f>
        <v>0</v>
      </c>
      <c r="L70" s="189">
        <f>SUMIFS('Plan prihoda za unos u SAP'!$H$3:$H$501,'Plan prihoda za unos u SAP'!$C$3:$C$501,"=552",'Plan prihoda za unos u SAP'!$K$3:$K$501,"=712")</f>
        <v>0</v>
      </c>
      <c r="M70" s="189">
        <f>SUMIFS('Plan prihoda za unos u SAP'!$H$3:$H$501,'Plan prihoda za unos u SAP'!$C$3:$C$501,"=559",'Plan prihoda za unos u SAP'!$K$3:$K$501,"=712")</f>
        <v>0</v>
      </c>
      <c r="N70" s="189">
        <f>SUMIFS('Plan prihoda za unos u SAP'!$H$3:$H$501,'Plan prihoda za unos u SAP'!$C$3:$C$501,"=561",'Plan prihoda za unos u SAP'!$K$3:$K$501,"=712")</f>
        <v>0</v>
      </c>
      <c r="O70" s="189">
        <f>SUMIFS('Plan prihoda za unos u SAP'!$H$3:$H$501,'Plan prihoda za unos u SAP'!$C$3:$C$501,"=563",'Plan prihoda za unos u SAP'!$K$3:$K$501,"=712")</f>
        <v>0</v>
      </c>
      <c r="P70" s="189">
        <f>SUMIFS('Plan prihoda za unos u SAP'!$H$3:$H$501,'Plan prihoda za unos u SAP'!$C$3:$C$501,"=573",'Plan prihoda za unos u SAP'!$K$3:$K$501,"=712")</f>
        <v>0</v>
      </c>
      <c r="Q70" s="189">
        <f>SUMIFS('Plan prihoda za unos u SAP'!$H$3:$H$501,'Plan prihoda za unos u SAP'!$C$3:$C$501,"=575",'Plan prihoda za unos u SAP'!$K$3:$K$501,"=712")</f>
        <v>0</v>
      </c>
      <c r="R70" s="189">
        <f>SUMIFS('Plan prihoda za unos u SAP'!$H$3:$H$501,'Plan prihoda za unos u SAP'!$C$3:$C$501,"=576",'Plan prihoda za unos u SAP'!$K$3:$K$501,"=712")</f>
        <v>0</v>
      </c>
      <c r="S70" s="189">
        <f>SUMIFS('Plan prihoda za unos u SAP'!$H$3:$H$501,'Plan prihoda za unos u SAP'!$C$3:$C$501,"=61",'Plan prihoda za unos u SAP'!$K$3:$K$501,"=712")</f>
        <v>0</v>
      </c>
      <c r="T70" s="189">
        <f>SUMIFS('Plan prihoda za unos u SAP'!$H$3:$H$501,'Plan prihoda za unos u SAP'!$C$3:$C$501,"=63",'Plan prihoda za unos u SAP'!$K$3:$K$501,"=712")</f>
        <v>0</v>
      </c>
      <c r="U70" s="189">
        <f>SUMIFS('Plan prihoda za unos u SAP'!$H$3:$H$501,'Plan prihoda za unos u SAP'!$C$3:$C$501,"=71",'Plan prihoda za unos u SAP'!$K$3:$K$501,"=712")</f>
        <v>0</v>
      </c>
      <c r="V70" s="189">
        <f>SUMIFS('Plan prihoda za unos u SAP'!$H$3:$H$501,'Plan prihoda za unos u SAP'!$C$3:$C$501,"=81",'Plan prihoda za unos u SAP'!$K$3:$K$501,"=712")</f>
        <v>0</v>
      </c>
      <c r="W70" s="189">
        <f>SUMIFS('Plan prihoda za unos u SAP'!$H$3:$H$501,'Plan prihoda za unos u SAP'!$C$3:$C$501,"=83",'Plan prihoda za unos u SAP'!$K$3:$K$501,"=712")</f>
        <v>0</v>
      </c>
    </row>
    <row r="71" spans="1:23" s="90" customFormat="1">
      <c r="A71" s="90">
        <v>2022</v>
      </c>
      <c r="B71" s="95" t="s">
        <v>307</v>
      </c>
      <c r="C71" s="100" t="s">
        <v>308</v>
      </c>
      <c r="D71" s="70">
        <f t="shared" si="12"/>
        <v>0</v>
      </c>
      <c r="E71" s="189">
        <f>SUMIFS('Plan prihoda za unos u SAP'!$H$3:$H$501,'Plan prihoda za unos u SAP'!$C$3:$C$501,"=11",'Plan prihoda za unos u SAP'!$K$3:$K$501,"=721")</f>
        <v>0</v>
      </c>
      <c r="F71" s="189">
        <f>SUMIFS('Plan prihoda za unos u SAP'!$H$3:$H$501,'Plan prihoda za unos u SAP'!$C$3:$C$501,"=12",'Plan prihoda za unos u SAP'!$K$3:$K$501,"=721")</f>
        <v>0</v>
      </c>
      <c r="G71" s="189">
        <f>SUMIFS('Plan prihoda za unos u SAP'!$H$3:$H$501,'Plan prihoda za unos u SAP'!$C$3:$C$501,"=31",'Plan prihoda za unos u SAP'!$K$3:$K$501,"=721")</f>
        <v>0</v>
      </c>
      <c r="H71" s="189">
        <f>SUMIFS('Plan prihoda za unos u SAP'!$H$3:$H$501,'Plan prihoda za unos u SAP'!$C$3:$C$501,"=41",'Plan prihoda za unos u SAP'!$K$3:$K$501,"=721")</f>
        <v>0</v>
      </c>
      <c r="I71" s="189">
        <f>SUMIFS('Plan prihoda za unos u SAP'!$H$3:$H$501,'Plan prihoda za unos u SAP'!$C$3:$C$501,"=43",'Plan prihoda za unos u SAP'!$K$3:$K$501,"=721")</f>
        <v>0</v>
      </c>
      <c r="J71" s="189">
        <f>SUMIFS('Plan prihoda za unos u SAP'!$H$3:$H$501,'Plan prihoda za unos u SAP'!$C$3:$C$501,"=51",'Plan prihoda za unos u SAP'!$K$3:$K$501,"=721")</f>
        <v>0</v>
      </c>
      <c r="K71" s="189">
        <f>SUMIFS('Plan prihoda za unos u SAP'!$H$3:$H$501,'Plan prihoda za unos u SAP'!$C$3:$C$501,"=52",'Plan prihoda za unos u SAP'!$K$3:$K$501,"=721")</f>
        <v>0</v>
      </c>
      <c r="L71" s="189">
        <f>SUMIFS('Plan prihoda za unos u SAP'!$H$3:$H$501,'Plan prihoda za unos u SAP'!$C$3:$C$501,"=552",'Plan prihoda za unos u SAP'!$K$3:$K$501,"=721")</f>
        <v>0</v>
      </c>
      <c r="M71" s="189">
        <f>SUMIFS('Plan prihoda za unos u SAP'!$H$3:$H$501,'Plan prihoda za unos u SAP'!$C$3:$C$501,"=559",'Plan prihoda za unos u SAP'!$K$3:$K$501,"=721")</f>
        <v>0</v>
      </c>
      <c r="N71" s="189">
        <f>SUMIFS('Plan prihoda za unos u SAP'!$H$3:$H$501,'Plan prihoda za unos u SAP'!$C$3:$C$501,"=561",'Plan prihoda za unos u SAP'!$K$3:$K$501,"=721")</f>
        <v>0</v>
      </c>
      <c r="O71" s="189">
        <f>SUMIFS('Plan prihoda za unos u SAP'!$H$3:$H$501,'Plan prihoda za unos u SAP'!$C$3:$C$501,"=563",'Plan prihoda za unos u SAP'!$K$3:$K$501,"=721")</f>
        <v>0</v>
      </c>
      <c r="P71" s="189">
        <f>SUMIFS('Plan prihoda za unos u SAP'!$H$3:$H$501,'Plan prihoda za unos u SAP'!$C$3:$C$501,"=573",'Plan prihoda za unos u SAP'!$K$3:$K$501,"=721")</f>
        <v>0</v>
      </c>
      <c r="Q71" s="189">
        <f>SUMIFS('Plan prihoda za unos u SAP'!$H$3:$H$501,'Plan prihoda za unos u SAP'!$C$3:$C$501,"=575",'Plan prihoda za unos u SAP'!$K$3:$K$501,"=721")</f>
        <v>0</v>
      </c>
      <c r="R71" s="189">
        <f>SUMIFS('Plan prihoda za unos u SAP'!$H$3:$H$501,'Plan prihoda za unos u SAP'!$C$3:$C$501,"=576",'Plan prihoda za unos u SAP'!$K$3:$K$501,"=721")</f>
        <v>0</v>
      </c>
      <c r="S71" s="189">
        <f>SUMIFS('Plan prihoda za unos u SAP'!$H$3:$H$501,'Plan prihoda za unos u SAP'!$C$3:$C$501,"=61",'Plan prihoda za unos u SAP'!$K$3:$K$501,"=721")</f>
        <v>0</v>
      </c>
      <c r="T71" s="189">
        <f>SUMIFS('Plan prihoda za unos u SAP'!$H$3:$H$501,'Plan prihoda za unos u SAP'!$C$3:$C$501,"=63",'Plan prihoda za unos u SAP'!$K$3:$K$501,"=721")</f>
        <v>0</v>
      </c>
      <c r="U71" s="189">
        <f>SUMIFS('Plan prihoda za unos u SAP'!$H$3:$H$501,'Plan prihoda za unos u SAP'!$C$3:$C$501,"=71",'Plan prihoda za unos u SAP'!$K$3:$K$501,"=721")</f>
        <v>0</v>
      </c>
      <c r="V71" s="189">
        <f>SUMIFS('Plan prihoda za unos u SAP'!$H$3:$H$501,'Plan prihoda za unos u SAP'!$C$3:$C$501,"=81",'Plan prihoda za unos u SAP'!$K$3:$K$501,"=721")</f>
        <v>0</v>
      </c>
      <c r="W71" s="189">
        <f>SUMIFS('Plan prihoda za unos u SAP'!$H$3:$H$501,'Plan prihoda za unos u SAP'!$C$3:$C$501,"=83",'Plan prihoda za unos u SAP'!$K$3:$K$501,"=721")</f>
        <v>0</v>
      </c>
    </row>
    <row r="72" spans="1:23" s="90" customFormat="1">
      <c r="A72" s="90">
        <v>2022</v>
      </c>
      <c r="B72" s="95" t="s">
        <v>309</v>
      </c>
      <c r="C72" s="100" t="s">
        <v>310</v>
      </c>
      <c r="D72" s="70">
        <f t="shared" si="12"/>
        <v>0</v>
      </c>
      <c r="E72" s="189">
        <f>SUMIFS('Plan prihoda za unos u SAP'!$H$3:$H$501,'Plan prihoda za unos u SAP'!$C$3:$C$501,"=11",'Plan prihoda za unos u SAP'!$K$3:$K$501,"=722")</f>
        <v>0</v>
      </c>
      <c r="F72" s="189">
        <f>SUMIFS('Plan prihoda za unos u SAP'!$H$3:$H$501,'Plan prihoda za unos u SAP'!$C$3:$C$501,"=12",'Plan prihoda za unos u SAP'!$K$3:$K$501,"=722")</f>
        <v>0</v>
      </c>
      <c r="G72" s="189">
        <f>SUMIFS('Plan prihoda za unos u SAP'!$H$3:$H$501,'Plan prihoda za unos u SAP'!$C$3:$C$501,"=31",'Plan prihoda za unos u SAP'!$K$3:$K$501,"=722")</f>
        <v>0</v>
      </c>
      <c r="H72" s="189">
        <f>SUMIFS('Plan prihoda za unos u SAP'!$H$3:$H$501,'Plan prihoda za unos u SAP'!$C$3:$C$501,"=41",'Plan prihoda za unos u SAP'!$K$3:$K$501,"=722")</f>
        <v>0</v>
      </c>
      <c r="I72" s="189">
        <f>SUMIFS('Plan prihoda za unos u SAP'!$H$3:$H$501,'Plan prihoda za unos u SAP'!$C$3:$C$501,"=43",'Plan prihoda za unos u SAP'!$K$3:$K$501,"=722")</f>
        <v>0</v>
      </c>
      <c r="J72" s="189">
        <f>SUMIFS('Plan prihoda za unos u SAP'!$H$3:$H$501,'Plan prihoda za unos u SAP'!$C$3:$C$501,"=51",'Plan prihoda za unos u SAP'!$K$3:$K$501,"=722")</f>
        <v>0</v>
      </c>
      <c r="K72" s="189">
        <f>SUMIFS('Plan prihoda za unos u SAP'!$H$3:$H$501,'Plan prihoda za unos u SAP'!$C$3:$C$501,"=52",'Plan prihoda za unos u SAP'!$K$3:$K$501,"=722")</f>
        <v>0</v>
      </c>
      <c r="L72" s="189">
        <f>SUMIFS('Plan prihoda za unos u SAP'!$H$3:$H$501,'Plan prihoda za unos u SAP'!$C$3:$C$501,"=552",'Plan prihoda za unos u SAP'!$K$3:$K$501,"=722")</f>
        <v>0</v>
      </c>
      <c r="M72" s="189">
        <f>SUMIFS('Plan prihoda za unos u SAP'!$H$3:$H$501,'Plan prihoda za unos u SAP'!$C$3:$C$501,"=559",'Plan prihoda za unos u SAP'!$K$3:$K$501,"=722")</f>
        <v>0</v>
      </c>
      <c r="N72" s="189">
        <f>SUMIFS('Plan prihoda za unos u SAP'!$H$3:$H$501,'Plan prihoda za unos u SAP'!$C$3:$C$501,"=561",'Plan prihoda za unos u SAP'!$K$3:$K$501,"=722")</f>
        <v>0</v>
      </c>
      <c r="O72" s="189">
        <f>SUMIFS('Plan prihoda za unos u SAP'!$H$3:$H$501,'Plan prihoda za unos u SAP'!$C$3:$C$501,"=563",'Plan prihoda za unos u SAP'!$K$3:$K$501,"=722")</f>
        <v>0</v>
      </c>
      <c r="P72" s="189">
        <f>SUMIFS('Plan prihoda za unos u SAP'!$H$3:$H$501,'Plan prihoda za unos u SAP'!$C$3:$C$501,"=573",'Plan prihoda za unos u SAP'!$K$3:$K$501,"=722")</f>
        <v>0</v>
      </c>
      <c r="Q72" s="189">
        <f>SUMIFS('Plan prihoda za unos u SAP'!$H$3:$H$501,'Plan prihoda za unos u SAP'!$C$3:$C$501,"=575",'Plan prihoda za unos u SAP'!$K$3:$K$501,"=722")</f>
        <v>0</v>
      </c>
      <c r="R72" s="189">
        <f>SUMIFS('Plan prihoda za unos u SAP'!$H$3:$H$501,'Plan prihoda za unos u SAP'!$C$3:$C$501,"=576",'Plan prihoda za unos u SAP'!$K$3:$K$501,"=722")</f>
        <v>0</v>
      </c>
      <c r="S72" s="189">
        <f>SUMIFS('Plan prihoda za unos u SAP'!$H$3:$H$501,'Plan prihoda za unos u SAP'!$C$3:$C$501,"=61",'Plan prihoda za unos u SAP'!$K$3:$K$501,"=722")</f>
        <v>0</v>
      </c>
      <c r="T72" s="189">
        <f>SUMIFS('Plan prihoda za unos u SAP'!$H$3:$H$501,'Plan prihoda za unos u SAP'!$C$3:$C$501,"=63",'Plan prihoda za unos u SAP'!$K$3:$K$501,"=722")</f>
        <v>0</v>
      </c>
      <c r="U72" s="189">
        <f>SUMIFS('Plan prihoda za unos u SAP'!$H$3:$H$501,'Plan prihoda za unos u SAP'!$C$3:$C$501,"=71",'Plan prihoda za unos u SAP'!$K$3:$K$501,"=722")</f>
        <v>0</v>
      </c>
      <c r="V72" s="189">
        <f>SUMIFS('Plan prihoda za unos u SAP'!$H$3:$H$501,'Plan prihoda za unos u SAP'!$C$3:$C$501,"=81",'Plan prihoda za unos u SAP'!$K$3:$K$501,"=722")</f>
        <v>0</v>
      </c>
      <c r="W72" s="189">
        <f>SUMIFS('Plan prihoda za unos u SAP'!$H$3:$H$501,'Plan prihoda za unos u SAP'!$C$3:$C$501,"=83",'Plan prihoda za unos u SAP'!$K$3:$K$501,"=722")</f>
        <v>0</v>
      </c>
    </row>
    <row r="73" spans="1:23" s="90" customFormat="1">
      <c r="A73" s="90">
        <v>2022</v>
      </c>
      <c r="B73" s="95" t="s">
        <v>311</v>
      </c>
      <c r="C73" s="100" t="s">
        <v>312</v>
      </c>
      <c r="D73" s="70">
        <f t="shared" si="12"/>
        <v>0</v>
      </c>
      <c r="E73" s="189">
        <f>SUMIFS('Plan prihoda za unos u SAP'!$H$3:$H$501,'Plan prihoda za unos u SAP'!$C$3:$C$501,"=11",'Plan prihoda za unos u SAP'!$K$3:$K$501,"=723")</f>
        <v>0</v>
      </c>
      <c r="F73" s="189">
        <f>SUMIFS('Plan prihoda za unos u SAP'!$H$3:$H$501,'Plan prihoda za unos u SAP'!$C$3:$C$501,"=12",'Plan prihoda za unos u SAP'!$K$3:$K$501,"=723")</f>
        <v>0</v>
      </c>
      <c r="G73" s="189">
        <f>SUMIFS('Plan prihoda za unos u SAP'!$H$3:$H$501,'Plan prihoda za unos u SAP'!$C$3:$C$501,"=31",'Plan prihoda za unos u SAP'!$K$3:$K$501,"=723")</f>
        <v>0</v>
      </c>
      <c r="H73" s="189">
        <f>SUMIFS('Plan prihoda za unos u SAP'!$H$3:$H$501,'Plan prihoda za unos u SAP'!$C$3:$C$501,"=41",'Plan prihoda za unos u SAP'!$K$3:$K$501,"=723")</f>
        <v>0</v>
      </c>
      <c r="I73" s="189">
        <f>SUMIFS('Plan prihoda za unos u SAP'!$H$3:$H$501,'Plan prihoda za unos u SAP'!$C$3:$C$501,"=43",'Plan prihoda za unos u SAP'!$K$3:$K$501,"=723")</f>
        <v>0</v>
      </c>
      <c r="J73" s="189">
        <f>SUMIFS('Plan prihoda za unos u SAP'!$H$3:$H$501,'Plan prihoda za unos u SAP'!$C$3:$C$501,"=51",'Plan prihoda za unos u SAP'!$K$3:$K$501,"=723")</f>
        <v>0</v>
      </c>
      <c r="K73" s="189">
        <f>SUMIFS('Plan prihoda za unos u SAP'!$H$3:$H$501,'Plan prihoda za unos u SAP'!$C$3:$C$501,"=52",'Plan prihoda za unos u SAP'!$K$3:$K$501,"=723")</f>
        <v>0</v>
      </c>
      <c r="L73" s="189">
        <f>SUMIFS('Plan prihoda za unos u SAP'!$H$3:$H$501,'Plan prihoda za unos u SAP'!$C$3:$C$501,"=552",'Plan prihoda za unos u SAP'!$K$3:$K$501,"=723")</f>
        <v>0</v>
      </c>
      <c r="M73" s="189">
        <f>SUMIFS('Plan prihoda za unos u SAP'!$H$3:$H$501,'Plan prihoda za unos u SAP'!$C$3:$C$501,"=559",'Plan prihoda za unos u SAP'!$K$3:$K$501,"=723")</f>
        <v>0</v>
      </c>
      <c r="N73" s="189">
        <f>SUMIFS('Plan prihoda za unos u SAP'!$H$3:$H$501,'Plan prihoda za unos u SAP'!$C$3:$C$501,"=561",'Plan prihoda za unos u SAP'!$K$3:$K$501,"=723")</f>
        <v>0</v>
      </c>
      <c r="O73" s="189">
        <f>SUMIFS('Plan prihoda za unos u SAP'!$H$3:$H$501,'Plan prihoda za unos u SAP'!$C$3:$C$501,"=563",'Plan prihoda za unos u SAP'!$K$3:$K$501,"=723")</f>
        <v>0</v>
      </c>
      <c r="P73" s="189">
        <f>SUMIFS('Plan prihoda za unos u SAP'!$H$3:$H$501,'Plan prihoda za unos u SAP'!$C$3:$C$501,"=573",'Plan prihoda za unos u SAP'!$K$3:$K$501,"=723")</f>
        <v>0</v>
      </c>
      <c r="Q73" s="189">
        <f>SUMIFS('Plan prihoda za unos u SAP'!$H$3:$H$501,'Plan prihoda za unos u SAP'!$C$3:$C$501,"=575",'Plan prihoda za unos u SAP'!$K$3:$K$501,"=723")</f>
        <v>0</v>
      </c>
      <c r="R73" s="189">
        <f>SUMIFS('Plan prihoda za unos u SAP'!$H$3:$H$501,'Plan prihoda za unos u SAP'!$C$3:$C$501,"=576",'Plan prihoda za unos u SAP'!$K$3:$K$501,"=723")</f>
        <v>0</v>
      </c>
      <c r="S73" s="189">
        <f>SUMIFS('Plan prihoda za unos u SAP'!$H$3:$H$501,'Plan prihoda za unos u SAP'!$C$3:$C$501,"=61",'Plan prihoda za unos u SAP'!$K$3:$K$501,"=723")</f>
        <v>0</v>
      </c>
      <c r="T73" s="189">
        <f>SUMIFS('Plan prihoda za unos u SAP'!$H$3:$H$501,'Plan prihoda za unos u SAP'!$C$3:$C$501,"=63",'Plan prihoda za unos u SAP'!$K$3:$K$501,"=723")</f>
        <v>0</v>
      </c>
      <c r="U73" s="189">
        <f>SUMIFS('Plan prihoda za unos u SAP'!$H$3:$H$501,'Plan prihoda za unos u SAP'!$C$3:$C$501,"=71",'Plan prihoda za unos u SAP'!$K$3:$K$501,"=723")</f>
        <v>0</v>
      </c>
      <c r="V73" s="189">
        <f>SUMIFS('Plan prihoda za unos u SAP'!$H$3:$H$501,'Plan prihoda za unos u SAP'!$C$3:$C$501,"=81",'Plan prihoda za unos u SAP'!$K$3:$K$501,"=723")</f>
        <v>0</v>
      </c>
      <c r="W73" s="189">
        <f>SUMIFS('Plan prihoda za unos u SAP'!$H$3:$H$501,'Plan prihoda za unos u SAP'!$C$3:$C$501,"=83",'Plan prihoda za unos u SAP'!$K$3:$K$501,"=723")</f>
        <v>0</v>
      </c>
    </row>
    <row r="74" spans="1:23" s="90" customFormat="1">
      <c r="A74" s="90">
        <v>2022</v>
      </c>
      <c r="B74" s="95" t="s">
        <v>322</v>
      </c>
      <c r="C74" s="100" t="s">
        <v>323</v>
      </c>
      <c r="D74" s="70">
        <f t="shared" si="12"/>
        <v>0</v>
      </c>
      <c r="E74" s="189">
        <f>SUMIFS('Plan prihoda za unos u SAP'!$H$3:$H$501,'Plan prihoda za unos u SAP'!$C$3:$C$501,"=11",'Plan prihoda za unos u SAP'!$K$3:$K$501,"=725")</f>
        <v>0</v>
      </c>
      <c r="F74" s="189">
        <f>SUMIFS('Plan prihoda za unos u SAP'!$H$3:$H$501,'Plan prihoda za unos u SAP'!$C$3:$C$501,"=12",'Plan prihoda za unos u SAP'!$K$3:$K$501,"=725")</f>
        <v>0</v>
      </c>
      <c r="G74" s="189">
        <f>SUMIFS('Plan prihoda za unos u SAP'!$H$3:$H$501,'Plan prihoda za unos u SAP'!$C$3:$C$501,"=31",'Plan prihoda za unos u SAP'!$K$3:$K$501,"=725")</f>
        <v>0</v>
      </c>
      <c r="H74" s="189">
        <f>SUMIFS('Plan prihoda za unos u SAP'!$H$3:$H$501,'Plan prihoda za unos u SAP'!$C$3:$C$501,"=41",'Plan prihoda za unos u SAP'!$K$3:$K$501,"=725")</f>
        <v>0</v>
      </c>
      <c r="I74" s="189">
        <f>SUMIFS('Plan prihoda za unos u SAP'!$H$3:$H$501,'Plan prihoda za unos u SAP'!$C$3:$C$501,"=43",'Plan prihoda za unos u SAP'!$K$3:$K$501,"=725")</f>
        <v>0</v>
      </c>
      <c r="J74" s="189">
        <f>SUMIFS('Plan prihoda za unos u SAP'!$H$3:$H$501,'Plan prihoda za unos u SAP'!$C$3:$C$501,"=51",'Plan prihoda za unos u SAP'!$K$3:$K$501,"=725")</f>
        <v>0</v>
      </c>
      <c r="K74" s="189">
        <f>SUMIFS('Plan prihoda za unos u SAP'!$H$3:$H$501,'Plan prihoda za unos u SAP'!$C$3:$C$501,"=52",'Plan prihoda za unos u SAP'!$K$3:$K$501,"=725")</f>
        <v>0</v>
      </c>
      <c r="L74" s="189">
        <f>SUMIFS('Plan prihoda za unos u SAP'!$H$3:$H$501,'Plan prihoda za unos u SAP'!$C$3:$C$501,"=552",'Plan prihoda za unos u SAP'!$K$3:$K$501,"=725")</f>
        <v>0</v>
      </c>
      <c r="M74" s="189">
        <f>SUMIFS('Plan prihoda za unos u SAP'!$H$3:$H$501,'Plan prihoda za unos u SAP'!$C$3:$C$501,"=559",'Plan prihoda za unos u SAP'!$K$3:$K$501,"=725")</f>
        <v>0</v>
      </c>
      <c r="N74" s="189">
        <f>SUMIFS('Plan prihoda za unos u SAP'!$H$3:$H$501,'Plan prihoda za unos u SAP'!$C$3:$C$501,"=561",'Plan prihoda za unos u SAP'!$K$3:$K$501,"=725")</f>
        <v>0</v>
      </c>
      <c r="O74" s="189">
        <f>SUMIFS('Plan prihoda za unos u SAP'!$H$3:$H$501,'Plan prihoda za unos u SAP'!$C$3:$C$501,"=563",'Plan prihoda za unos u SAP'!$K$3:$K$501,"=725")</f>
        <v>0</v>
      </c>
      <c r="P74" s="189">
        <f>SUMIFS('Plan prihoda za unos u SAP'!$H$3:$H$501,'Plan prihoda za unos u SAP'!$C$3:$C$501,"=573",'Plan prihoda za unos u SAP'!$K$3:$K$501,"=725")</f>
        <v>0</v>
      </c>
      <c r="Q74" s="189">
        <f>SUMIFS('Plan prihoda za unos u SAP'!$H$3:$H$501,'Plan prihoda za unos u SAP'!$C$3:$C$501,"=575",'Plan prihoda za unos u SAP'!$K$3:$K$501,"=725")</f>
        <v>0</v>
      </c>
      <c r="R74" s="189">
        <f>SUMIFS('Plan prihoda za unos u SAP'!$H$3:$H$501,'Plan prihoda za unos u SAP'!$C$3:$C$501,"=576",'Plan prihoda za unos u SAP'!$K$3:$K$501,"=725")</f>
        <v>0</v>
      </c>
      <c r="S74" s="189">
        <f>SUMIFS('Plan prihoda za unos u SAP'!$H$3:$H$501,'Plan prihoda za unos u SAP'!$C$3:$C$501,"=61",'Plan prihoda za unos u SAP'!$K$3:$K$501,"=725")</f>
        <v>0</v>
      </c>
      <c r="T74" s="189">
        <f>SUMIFS('Plan prihoda za unos u SAP'!$H$3:$H$501,'Plan prihoda za unos u SAP'!$C$3:$C$501,"=63",'Plan prihoda za unos u SAP'!$K$3:$K$501,"=725")</f>
        <v>0</v>
      </c>
      <c r="U74" s="189">
        <f>SUMIFS('Plan prihoda za unos u SAP'!$H$3:$H$501,'Plan prihoda za unos u SAP'!$C$3:$C$501,"=71",'Plan prihoda za unos u SAP'!$K$3:$K$501,"=725")</f>
        <v>0</v>
      </c>
      <c r="V74" s="189">
        <f>SUMIFS('Plan prihoda za unos u SAP'!$H$3:$H$501,'Plan prihoda za unos u SAP'!$C$3:$C$501,"=81",'Plan prihoda za unos u SAP'!$K$3:$K$501,"=725")</f>
        <v>0</v>
      </c>
      <c r="W74" s="189">
        <f>SUMIFS('Plan prihoda za unos u SAP'!$H$3:$H$501,'Plan prihoda za unos u SAP'!$C$3:$C$501,"=83",'Plan prihoda za unos u SAP'!$K$3:$K$501,"=725")</f>
        <v>0</v>
      </c>
    </row>
    <row r="75" spans="1:23" s="90" customFormat="1">
      <c r="A75" s="90">
        <v>2022</v>
      </c>
      <c r="B75" s="98" t="s">
        <v>313</v>
      </c>
      <c r="C75" s="99" t="s">
        <v>306</v>
      </c>
      <c r="D75" s="70">
        <f>SUM(E75:W75)</f>
        <v>0</v>
      </c>
      <c r="E75" s="4">
        <f>SUM(E69:E74)</f>
        <v>0</v>
      </c>
      <c r="F75" s="4">
        <f t="shared" ref="F75:V75" si="18">SUM(F69:F74)</f>
        <v>0</v>
      </c>
      <c r="G75" s="4">
        <f t="shared" si="18"/>
        <v>0</v>
      </c>
      <c r="H75" s="4">
        <f>SUM(H69:H74)</f>
        <v>0</v>
      </c>
      <c r="I75" s="4">
        <f t="shared" si="18"/>
        <v>0</v>
      </c>
      <c r="J75" s="4">
        <f t="shared" si="18"/>
        <v>0</v>
      </c>
      <c r="K75" s="4">
        <f t="shared" si="18"/>
        <v>0</v>
      </c>
      <c r="L75" s="4">
        <f>SUM(L69:L74)</f>
        <v>0</v>
      </c>
      <c r="M75" s="4">
        <f t="shared" si="18"/>
        <v>0</v>
      </c>
      <c r="N75" s="4">
        <f t="shared" si="18"/>
        <v>0</v>
      </c>
      <c r="O75" s="4">
        <f t="shared" si="18"/>
        <v>0</v>
      </c>
      <c r="P75" s="4">
        <f>SUM(P69:P74)</f>
        <v>0</v>
      </c>
      <c r="Q75" s="4">
        <f>SUM(Q69:Q74)</f>
        <v>0</v>
      </c>
      <c r="R75" s="4">
        <f>SUM(R69:R74)</f>
        <v>0</v>
      </c>
      <c r="S75" s="4">
        <f t="shared" si="18"/>
        <v>0</v>
      </c>
      <c r="T75" s="4">
        <f t="shared" si="18"/>
        <v>0</v>
      </c>
      <c r="U75" s="4">
        <f t="shared" si="18"/>
        <v>0</v>
      </c>
      <c r="V75" s="4">
        <f t="shared" si="18"/>
        <v>0</v>
      </c>
      <c r="W75" s="4">
        <f>SUM(W69:W74)</f>
        <v>0</v>
      </c>
    </row>
    <row r="76" spans="1:23" s="90" customFormat="1" ht="25.5">
      <c r="A76" s="90">
        <v>2022</v>
      </c>
      <c r="B76" s="101">
        <v>812</v>
      </c>
      <c r="C76" s="102" t="s">
        <v>314</v>
      </c>
      <c r="D76" s="70">
        <f t="shared" si="12"/>
        <v>0</v>
      </c>
      <c r="E76" s="189">
        <f>SUMIFS('Plan prihoda za unos u SAP'!$H$3:$H$501,'Plan prihoda za unos u SAP'!$C$3:$C$501,"=11",'Plan prihoda za unos u SAP'!$K$3:$K$501,"=812")</f>
        <v>0</v>
      </c>
      <c r="F76" s="189">
        <f>SUMIFS('Plan prihoda za unos u SAP'!$H$3:$H$501,'Plan prihoda za unos u SAP'!$C$3:$C$501,"=12",'Plan prihoda za unos u SAP'!$K$3:$K$501,"=812")</f>
        <v>0</v>
      </c>
      <c r="G76" s="189">
        <f>SUMIFS('Plan prihoda za unos u SAP'!$H$3:$H$501,'Plan prihoda za unos u SAP'!$C$3:$C$501,"=31",'Plan prihoda za unos u SAP'!$K$3:$K$501,"=812")</f>
        <v>0</v>
      </c>
      <c r="H76" s="189">
        <f>SUMIFS('Plan prihoda za unos u SAP'!$H$3:$H$501,'Plan prihoda za unos u SAP'!$C$3:$C$501,"=41",'Plan prihoda za unos u SAP'!$K$3:$K$501,"=812")</f>
        <v>0</v>
      </c>
      <c r="I76" s="189">
        <f>SUMIFS('Plan prihoda za unos u SAP'!$H$3:$H$501,'Plan prihoda za unos u SAP'!$C$3:$C$501,"=43",'Plan prihoda za unos u SAP'!$K$3:$K$501,"=812")</f>
        <v>0</v>
      </c>
      <c r="J76" s="189">
        <f>SUMIFS('Plan prihoda za unos u SAP'!$H$3:$H$501,'Plan prihoda za unos u SAP'!$C$3:$C$501,"=51",'Plan prihoda za unos u SAP'!$K$3:$K$501,"=812")</f>
        <v>0</v>
      </c>
      <c r="K76" s="189">
        <f>SUMIFS('Plan prihoda za unos u SAP'!$H$3:$H$501,'Plan prihoda za unos u SAP'!$C$3:$C$501,"=52",'Plan prihoda za unos u SAP'!$K$3:$K$501,"=812")</f>
        <v>0</v>
      </c>
      <c r="L76" s="189">
        <f>SUMIFS('Plan prihoda za unos u SAP'!$H$3:$H$501,'Plan prihoda za unos u SAP'!$C$3:$C$501,"=552",'Plan prihoda za unos u SAP'!$K$3:$K$501,"=812")</f>
        <v>0</v>
      </c>
      <c r="M76" s="189">
        <f>SUMIFS('Plan prihoda za unos u SAP'!$H$3:$H$501,'Plan prihoda za unos u SAP'!$C$3:$C$501,"=559",'Plan prihoda za unos u SAP'!$K$3:$K$501,"=812")</f>
        <v>0</v>
      </c>
      <c r="N76" s="189">
        <f>SUMIFS('Plan prihoda za unos u SAP'!$H$3:$H$501,'Plan prihoda za unos u SAP'!$C$3:$C$501,"=561",'Plan prihoda za unos u SAP'!$K$3:$K$501,"=812")</f>
        <v>0</v>
      </c>
      <c r="O76" s="189">
        <f>SUMIFS('Plan prihoda za unos u SAP'!$H$3:$H$501,'Plan prihoda za unos u SAP'!$C$3:$C$501,"=563",'Plan prihoda za unos u SAP'!$K$3:$K$501,"=812")</f>
        <v>0</v>
      </c>
      <c r="P76" s="189">
        <f>SUMIFS('Plan prihoda za unos u SAP'!$H$3:$H$501,'Plan prihoda za unos u SAP'!$C$3:$C$501,"=573",'Plan prihoda za unos u SAP'!$K$3:$K$501,"=812")</f>
        <v>0</v>
      </c>
      <c r="Q76" s="189">
        <f>SUMIFS('Plan prihoda za unos u SAP'!$H$3:$H$501,'Plan prihoda za unos u SAP'!$C$3:$C$501,"=575",'Plan prihoda za unos u SAP'!$K$3:$K$501,"=812")</f>
        <v>0</v>
      </c>
      <c r="R76" s="189">
        <f>SUMIFS('Plan prihoda za unos u SAP'!$H$3:$H$501,'Plan prihoda za unos u SAP'!$C$3:$C$501,"=576",'Plan prihoda za unos u SAP'!$K$3:$K$501,"=812")</f>
        <v>0</v>
      </c>
      <c r="S76" s="189">
        <f>SUMIFS('Plan prihoda za unos u SAP'!$H$3:$H$501,'Plan prihoda za unos u SAP'!$C$3:$C$501,"=61",'Plan prihoda za unos u SAP'!$K$3:$K$501,"=812")</f>
        <v>0</v>
      </c>
      <c r="T76" s="189">
        <f>SUMIFS('Plan prihoda za unos u SAP'!$H$3:$H$501,'Plan prihoda za unos u SAP'!$C$3:$C$501,"=63",'Plan prihoda za unos u SAP'!$K$3:$K$501,"=812")</f>
        <v>0</v>
      </c>
      <c r="U76" s="189">
        <f>SUMIFS('Plan prihoda za unos u SAP'!$H$3:$H$501,'Plan prihoda za unos u SAP'!$C$3:$C$501,"=71",'Plan prihoda za unos u SAP'!$K$3:$K$501,"=812")</f>
        <v>0</v>
      </c>
      <c r="V76" s="189">
        <f>SUMIFS('Plan prihoda za unos u SAP'!$H$3:$H$501,'Plan prihoda za unos u SAP'!$C$3:$C$501,"=81",'Plan prihoda za unos u SAP'!$K$3:$K$501,"=812")</f>
        <v>0</v>
      </c>
      <c r="W76" s="189">
        <f>SUMIFS('Plan prihoda za unos u SAP'!$H$3:$H$501,'Plan prihoda za unos u SAP'!$C$3:$C$501,"=83",'Plan prihoda za unos u SAP'!$K$3:$K$501,"=812")</f>
        <v>0</v>
      </c>
    </row>
    <row r="77" spans="1:23" s="90" customFormat="1">
      <c r="A77" s="90">
        <v>2022</v>
      </c>
      <c r="B77" s="101">
        <v>818</v>
      </c>
      <c r="C77" s="102" t="s">
        <v>1567</v>
      </c>
      <c r="D77" s="70">
        <f t="shared" si="12"/>
        <v>0</v>
      </c>
      <c r="E77" s="189">
        <f>SUMIFS('Plan prihoda za unos u SAP'!$H$3:$H$501,'Plan prihoda za unos u SAP'!$C$3:$C$501,"=11",'Plan prihoda za unos u SAP'!$K$3:$K$501,"=818")</f>
        <v>0</v>
      </c>
      <c r="F77" s="189">
        <f>SUMIFS('Plan prihoda za unos u SAP'!$H$3:$H$501,'Plan prihoda za unos u SAP'!$C$3:$C$501,"=12",'Plan prihoda za unos u SAP'!$K$3:$K$501,"=818")</f>
        <v>0</v>
      </c>
      <c r="G77" s="189">
        <f>SUMIFS('Plan prihoda za unos u SAP'!$H$3:$H$501,'Plan prihoda za unos u SAP'!$C$3:$C$501,"=31",'Plan prihoda za unos u SAP'!$K$3:$K$501,"=818")</f>
        <v>0</v>
      </c>
      <c r="H77" s="189">
        <f>SUMIFS('Plan prihoda za unos u SAP'!$H$3:$H$501,'Plan prihoda za unos u SAP'!$C$3:$C$501,"=41",'Plan prihoda za unos u SAP'!$K$3:$K$501,"=818")</f>
        <v>0</v>
      </c>
      <c r="I77" s="189">
        <f>SUMIFS('Plan prihoda za unos u SAP'!$H$3:$H$501,'Plan prihoda za unos u SAP'!$C$3:$C$501,"=43",'Plan prihoda za unos u SAP'!$K$3:$K$501,"=818")</f>
        <v>0</v>
      </c>
      <c r="J77" s="189">
        <f>SUMIFS('Plan prihoda za unos u SAP'!$H$3:$H$501,'Plan prihoda za unos u SAP'!$C$3:$C$501,"=51",'Plan prihoda za unos u SAP'!$K$3:$K$501,"=818")</f>
        <v>0</v>
      </c>
      <c r="K77" s="189">
        <f>SUMIFS('Plan prihoda za unos u SAP'!$H$3:$H$501,'Plan prihoda za unos u SAP'!$C$3:$C$501,"=52",'Plan prihoda za unos u SAP'!$K$3:$K$501,"=818")</f>
        <v>0</v>
      </c>
      <c r="L77" s="189">
        <f>SUMIFS('Plan prihoda za unos u SAP'!$H$3:$H$501,'Plan prihoda za unos u SAP'!$C$3:$C$501,"=552",'Plan prihoda za unos u SAP'!$K$3:$K$501,"=818")</f>
        <v>0</v>
      </c>
      <c r="M77" s="189">
        <f>SUMIFS('Plan prihoda za unos u SAP'!$H$3:$H$501,'Plan prihoda za unos u SAP'!$C$3:$C$501,"=559",'Plan prihoda za unos u SAP'!$K$3:$K$501,"=818")</f>
        <v>0</v>
      </c>
      <c r="N77" s="189">
        <f>SUMIFS('Plan prihoda za unos u SAP'!$H$3:$H$501,'Plan prihoda za unos u SAP'!$C$3:$C$501,"=561",'Plan prihoda za unos u SAP'!$K$3:$K$501,"=818")</f>
        <v>0</v>
      </c>
      <c r="O77" s="189">
        <f>SUMIFS('Plan prihoda za unos u SAP'!$H$3:$H$501,'Plan prihoda za unos u SAP'!$C$3:$C$501,"=563",'Plan prihoda za unos u SAP'!$K$3:$K$501,"=818")</f>
        <v>0</v>
      </c>
      <c r="P77" s="189">
        <f>SUMIFS('Plan prihoda za unos u SAP'!$H$3:$H$501,'Plan prihoda za unos u SAP'!$C$3:$C$501,"=573",'Plan prihoda za unos u SAP'!$K$3:$K$501,"=818")</f>
        <v>0</v>
      </c>
      <c r="Q77" s="189">
        <f>SUMIFS('Plan prihoda za unos u SAP'!$H$3:$H$501,'Plan prihoda za unos u SAP'!$C$3:$C$501,"=575",'Plan prihoda za unos u SAP'!$K$3:$K$501,"=818")</f>
        <v>0</v>
      </c>
      <c r="R77" s="189">
        <f>SUMIFS('Plan prihoda za unos u SAP'!$H$3:$H$501,'Plan prihoda za unos u SAP'!$C$3:$C$501,"=576",'Plan prihoda za unos u SAP'!$K$3:$K$501,"=818")</f>
        <v>0</v>
      </c>
      <c r="S77" s="189">
        <f>SUMIFS('Plan prihoda za unos u SAP'!$H$3:$H$501,'Plan prihoda za unos u SAP'!$C$3:$C$501,"=61",'Plan prihoda za unos u SAP'!$K$3:$K$501,"=818")</f>
        <v>0</v>
      </c>
      <c r="T77" s="189">
        <f>SUMIFS('Plan prihoda za unos u SAP'!$H$3:$H$501,'Plan prihoda za unos u SAP'!$C$3:$C$501,"=63",'Plan prihoda za unos u SAP'!$K$3:$K$501,"=818")</f>
        <v>0</v>
      </c>
      <c r="U77" s="189">
        <f>SUMIFS('Plan prihoda za unos u SAP'!$H$3:$H$501,'Plan prihoda za unos u SAP'!$C$3:$C$501,"=71",'Plan prihoda za unos u SAP'!$K$3:$K$501,"=818")</f>
        <v>0</v>
      </c>
      <c r="V77" s="189">
        <f>SUMIFS('Plan prihoda za unos u SAP'!$H$3:$H$501,'Plan prihoda za unos u SAP'!$C$3:$C$501,"=81",'Plan prihoda za unos u SAP'!$K$3:$K$501,"=818")</f>
        <v>0</v>
      </c>
      <c r="W77" s="189">
        <f>SUMIFS('Plan prihoda za unos u SAP'!$H$3:$H$501,'Plan prihoda za unos u SAP'!$C$3:$C$501,"=83",'Plan prihoda za unos u SAP'!$K$3:$K$501,"=818")</f>
        <v>0</v>
      </c>
    </row>
    <row r="78" spans="1:23" s="90" customFormat="1">
      <c r="A78" s="90">
        <v>2022</v>
      </c>
      <c r="B78" s="101">
        <v>832</v>
      </c>
      <c r="C78" s="102" t="s">
        <v>1568</v>
      </c>
      <c r="D78" s="70">
        <f t="shared" si="12"/>
        <v>0</v>
      </c>
      <c r="E78" s="189">
        <f>SUMIFS('Plan prihoda za unos u SAP'!$H$3:$H$501,'Plan prihoda za unos u SAP'!$C$3:$C$501,"=11",'Plan prihoda za unos u SAP'!$K$3:$K$501,"=832")</f>
        <v>0</v>
      </c>
      <c r="F78" s="189">
        <f>SUMIFS('Plan prihoda za unos u SAP'!$H$3:$H$501,'Plan prihoda za unos u SAP'!$C$3:$C$501,"=12",'Plan prihoda za unos u SAP'!$K$3:$K$501,"=832")</f>
        <v>0</v>
      </c>
      <c r="G78" s="189">
        <f>SUMIFS('Plan prihoda za unos u SAP'!$H$3:$H$501,'Plan prihoda za unos u SAP'!$C$3:$C$501,"=31",'Plan prihoda za unos u SAP'!$K$3:$K$501,"=832")</f>
        <v>0</v>
      </c>
      <c r="H78" s="189">
        <f>SUMIFS('Plan prihoda za unos u SAP'!$H$3:$H$501,'Plan prihoda za unos u SAP'!$C$3:$C$501,"=41",'Plan prihoda za unos u SAP'!$K$3:$K$501,"=832")</f>
        <v>0</v>
      </c>
      <c r="I78" s="189">
        <f>SUMIFS('Plan prihoda za unos u SAP'!$H$3:$H$501,'Plan prihoda za unos u SAP'!$C$3:$C$501,"=43",'Plan prihoda za unos u SAP'!$K$3:$K$501,"=832")</f>
        <v>0</v>
      </c>
      <c r="J78" s="189">
        <f>SUMIFS('Plan prihoda za unos u SAP'!$H$3:$H$501,'Plan prihoda za unos u SAP'!$C$3:$C$501,"=51",'Plan prihoda za unos u SAP'!$K$3:$K$501,"=832")</f>
        <v>0</v>
      </c>
      <c r="K78" s="189">
        <f>SUMIFS('Plan prihoda za unos u SAP'!$H$3:$H$501,'Plan prihoda za unos u SAP'!$C$3:$C$501,"=52",'Plan prihoda za unos u SAP'!$K$3:$K$501,"=832")</f>
        <v>0</v>
      </c>
      <c r="L78" s="189">
        <f>SUMIFS('Plan prihoda za unos u SAP'!$H$3:$H$501,'Plan prihoda za unos u SAP'!$C$3:$C$501,"=552",'Plan prihoda za unos u SAP'!$K$3:$K$501,"=832")</f>
        <v>0</v>
      </c>
      <c r="M78" s="189">
        <f>SUMIFS('Plan prihoda za unos u SAP'!$H$3:$H$501,'Plan prihoda za unos u SAP'!$C$3:$C$501,"=559",'Plan prihoda za unos u SAP'!$K$3:$K$501,"=832")</f>
        <v>0</v>
      </c>
      <c r="N78" s="189">
        <f>SUMIFS('Plan prihoda za unos u SAP'!$H$3:$H$501,'Plan prihoda za unos u SAP'!$C$3:$C$501,"=561",'Plan prihoda za unos u SAP'!$K$3:$K$501,"=832")</f>
        <v>0</v>
      </c>
      <c r="O78" s="189">
        <f>SUMIFS('Plan prihoda za unos u SAP'!$H$3:$H$501,'Plan prihoda za unos u SAP'!$C$3:$C$501,"=563",'Plan prihoda za unos u SAP'!$K$3:$K$501,"=832")</f>
        <v>0</v>
      </c>
      <c r="P78" s="189">
        <f>SUMIFS('Plan prihoda za unos u SAP'!$H$3:$H$501,'Plan prihoda za unos u SAP'!$C$3:$C$501,"=573",'Plan prihoda za unos u SAP'!$K$3:$K$501,"=832")</f>
        <v>0</v>
      </c>
      <c r="Q78" s="189">
        <f>SUMIFS('Plan prihoda za unos u SAP'!$H$3:$H$501,'Plan prihoda za unos u SAP'!$C$3:$C$501,"=575",'Plan prihoda za unos u SAP'!$K$3:$K$501,"=832")</f>
        <v>0</v>
      </c>
      <c r="R78" s="189">
        <f>SUMIFS('Plan prihoda za unos u SAP'!$H$3:$H$501,'Plan prihoda za unos u SAP'!$C$3:$C$501,"=576",'Plan prihoda za unos u SAP'!$K$3:$K$501,"=832")</f>
        <v>0</v>
      </c>
      <c r="S78" s="189">
        <f>SUMIFS('Plan prihoda za unos u SAP'!$H$3:$H$501,'Plan prihoda za unos u SAP'!$C$3:$C$501,"=61",'Plan prihoda za unos u SAP'!$K$3:$K$501,"=832")</f>
        <v>0</v>
      </c>
      <c r="T78" s="189">
        <f>SUMIFS('Plan prihoda za unos u SAP'!$H$3:$H$501,'Plan prihoda za unos u SAP'!$C$3:$C$501,"=63",'Plan prihoda za unos u SAP'!$K$3:$K$501,"=832")</f>
        <v>0</v>
      </c>
      <c r="U78" s="189">
        <f>SUMIFS('Plan prihoda za unos u SAP'!$H$3:$H$501,'Plan prihoda za unos u SAP'!$C$3:$C$501,"=71",'Plan prihoda za unos u SAP'!$K$3:$K$501,"=832")</f>
        <v>0</v>
      </c>
      <c r="V78" s="189">
        <f>SUMIFS('Plan prihoda za unos u SAP'!$H$3:$H$501,'Plan prihoda za unos u SAP'!$C$3:$C$501,"=81",'Plan prihoda za unos u SAP'!$K$3:$K$501,"=832")</f>
        <v>0</v>
      </c>
      <c r="W78" s="189">
        <f>SUMIFS('Plan prihoda za unos u SAP'!$H$3:$H$501,'Plan prihoda za unos u SAP'!$C$3:$C$501,"=83",'Plan prihoda za unos u SAP'!$K$3:$K$501,"=832")</f>
        <v>0</v>
      </c>
    </row>
    <row r="79" spans="1:23" s="90" customFormat="1" ht="25.5">
      <c r="A79" s="90">
        <v>2022</v>
      </c>
      <c r="B79" s="101">
        <v>833</v>
      </c>
      <c r="C79" s="102" t="s">
        <v>2136</v>
      </c>
      <c r="D79" s="70">
        <f t="shared" ref="D79" si="19">SUM(E79:W79)</f>
        <v>0</v>
      </c>
      <c r="E79" s="189">
        <f>SUMIFS('Plan prihoda za unos u SAP'!$H$3:$H$501,'Plan prihoda za unos u SAP'!$C$3:$C$501,"=11",'Plan prihoda za unos u SAP'!$K$3:$K$501,"=833")</f>
        <v>0</v>
      </c>
      <c r="F79" s="189">
        <f>SUMIFS('Plan prihoda za unos u SAP'!$H$3:$H$501,'Plan prihoda za unos u SAP'!$C$3:$C$501,"=12",'Plan prihoda za unos u SAP'!$K$3:$K$501,"=833")</f>
        <v>0</v>
      </c>
      <c r="G79" s="189">
        <f>SUMIFS('Plan prihoda za unos u SAP'!$H$3:$H$501,'Plan prihoda za unos u SAP'!$C$3:$C$501,"=31",'Plan prihoda za unos u SAP'!$K$3:$K$501,"=833")</f>
        <v>0</v>
      </c>
      <c r="H79" s="189">
        <f>SUMIFS('Plan prihoda za unos u SAP'!$H$3:$H$501,'Plan prihoda za unos u SAP'!$C$3:$C$501,"=41",'Plan prihoda za unos u SAP'!$K$3:$K$501,"=833")</f>
        <v>0</v>
      </c>
      <c r="I79" s="189">
        <f>SUMIFS('Plan prihoda za unos u SAP'!$H$3:$H$501,'Plan prihoda za unos u SAP'!$C$3:$C$501,"=43",'Plan prihoda za unos u SAP'!$K$3:$K$501,"=833")</f>
        <v>0</v>
      </c>
      <c r="J79" s="189">
        <f>SUMIFS('Plan prihoda za unos u SAP'!$H$3:$H$501,'Plan prihoda za unos u SAP'!$C$3:$C$501,"=51",'Plan prihoda za unos u SAP'!$K$3:$K$501,"=833")</f>
        <v>0</v>
      </c>
      <c r="K79" s="189">
        <f>SUMIFS('Plan prihoda za unos u SAP'!$H$3:$H$501,'Plan prihoda za unos u SAP'!$C$3:$C$501,"=52",'Plan prihoda za unos u SAP'!$K$3:$K$501,"=833")</f>
        <v>0</v>
      </c>
      <c r="L79" s="189">
        <f>SUMIFS('Plan prihoda za unos u SAP'!$H$3:$H$501,'Plan prihoda za unos u SAP'!$C$3:$C$501,"=552",'Plan prihoda za unos u SAP'!$K$3:$K$501,"=833")</f>
        <v>0</v>
      </c>
      <c r="M79" s="189">
        <f>SUMIFS('Plan prihoda za unos u SAP'!$H$3:$H$501,'Plan prihoda za unos u SAP'!$C$3:$C$501,"=559",'Plan prihoda za unos u SAP'!$K$3:$K$501,"=833")</f>
        <v>0</v>
      </c>
      <c r="N79" s="189">
        <f>SUMIFS('Plan prihoda za unos u SAP'!$H$3:$H$501,'Plan prihoda za unos u SAP'!$C$3:$C$501,"=561",'Plan prihoda za unos u SAP'!$K$3:$K$501,"=833")</f>
        <v>0</v>
      </c>
      <c r="O79" s="189">
        <f>SUMIFS('Plan prihoda za unos u SAP'!$H$3:$H$501,'Plan prihoda za unos u SAP'!$C$3:$C$501,"=563",'Plan prihoda za unos u SAP'!$K$3:$K$501,"=833")</f>
        <v>0</v>
      </c>
      <c r="P79" s="189">
        <f>SUMIFS('Plan prihoda za unos u SAP'!$H$3:$H$501,'Plan prihoda za unos u SAP'!$C$3:$C$501,"=573",'Plan prihoda za unos u SAP'!$K$3:$K$501,"=833")</f>
        <v>0</v>
      </c>
      <c r="Q79" s="189">
        <f>SUMIFS('Plan prihoda za unos u SAP'!$H$3:$H$501,'Plan prihoda za unos u SAP'!$C$3:$C$501,"=575",'Plan prihoda za unos u SAP'!$K$3:$K$501,"=833")</f>
        <v>0</v>
      </c>
      <c r="R79" s="189">
        <f>SUMIFS('Plan prihoda za unos u SAP'!$H$3:$H$501,'Plan prihoda za unos u SAP'!$C$3:$C$501,"=576",'Plan prihoda za unos u SAP'!$K$3:$K$501,"=833")</f>
        <v>0</v>
      </c>
      <c r="S79" s="189">
        <f>SUMIFS('Plan prihoda za unos u SAP'!$H$3:$H$501,'Plan prihoda za unos u SAP'!$C$3:$C$501,"=61",'Plan prihoda za unos u SAP'!$K$3:$K$501,"=833")</f>
        <v>0</v>
      </c>
      <c r="T79" s="189">
        <f>SUMIFS('Plan prihoda za unos u SAP'!$H$3:$H$501,'Plan prihoda za unos u SAP'!$C$3:$C$501,"=63",'Plan prihoda za unos u SAP'!$K$3:$K$501,"=833")</f>
        <v>0</v>
      </c>
      <c r="U79" s="189">
        <f>SUMIFS('Plan prihoda za unos u SAP'!$H$3:$H$501,'Plan prihoda za unos u SAP'!$C$3:$C$501,"=71",'Plan prihoda za unos u SAP'!$K$3:$K$501,"=833")</f>
        <v>0</v>
      </c>
      <c r="V79" s="189">
        <f>SUMIFS('Plan prihoda za unos u SAP'!$H$3:$H$501,'Plan prihoda za unos u SAP'!$C$3:$C$501,"=81",'Plan prihoda za unos u SAP'!$K$3:$K$501,"=833")</f>
        <v>0</v>
      </c>
      <c r="W79" s="189">
        <f>SUMIFS('Plan prihoda za unos u SAP'!$H$3:$H$501,'Plan prihoda za unos u SAP'!$C$3:$C$501,"=83",'Plan prihoda za unos u SAP'!$K$3:$K$501,"=833")</f>
        <v>0</v>
      </c>
    </row>
    <row r="80" spans="1:23" s="90" customFormat="1" ht="25.5">
      <c r="A80" s="90">
        <v>2022</v>
      </c>
      <c r="B80" s="101">
        <v>841</v>
      </c>
      <c r="C80" s="102" t="s">
        <v>1569</v>
      </c>
      <c r="D80" s="70">
        <f t="shared" si="12"/>
        <v>0</v>
      </c>
      <c r="E80" s="189">
        <f>SUMIFS('Plan prihoda za unos u SAP'!$H$3:$H$501,'Plan prihoda za unos u SAP'!$C$3:$C$501,"=11",'Plan prihoda za unos u SAP'!$K$3:$K$501,"=841")</f>
        <v>0</v>
      </c>
      <c r="F80" s="189">
        <f>SUMIFS('Plan prihoda za unos u SAP'!$H$3:$H$501,'Plan prihoda za unos u SAP'!$C$3:$C$501,"=12",'Plan prihoda za unos u SAP'!$K$3:$K$501,"=841")</f>
        <v>0</v>
      </c>
      <c r="G80" s="189">
        <f>SUMIFS('Plan prihoda za unos u SAP'!$H$3:$H$501,'Plan prihoda za unos u SAP'!$C$3:$C$501,"=31",'Plan prihoda za unos u SAP'!$K$3:$K$501,"=841")</f>
        <v>0</v>
      </c>
      <c r="H80" s="189">
        <f>SUMIFS('Plan prihoda za unos u SAP'!$H$3:$H$501,'Plan prihoda za unos u SAP'!$C$3:$C$501,"=41",'Plan prihoda za unos u SAP'!$K$3:$K$501,"=841")</f>
        <v>0</v>
      </c>
      <c r="I80" s="189">
        <f>SUMIFS('Plan prihoda za unos u SAP'!$H$3:$H$501,'Plan prihoda za unos u SAP'!$C$3:$C$501,"=43",'Plan prihoda za unos u SAP'!$K$3:$K$501,"=841")</f>
        <v>0</v>
      </c>
      <c r="J80" s="189">
        <f>SUMIFS('Plan prihoda za unos u SAP'!$H$3:$H$501,'Plan prihoda za unos u SAP'!$C$3:$C$501,"=51",'Plan prihoda za unos u SAP'!$K$3:$K$501,"=841")</f>
        <v>0</v>
      </c>
      <c r="K80" s="189">
        <f>SUMIFS('Plan prihoda za unos u SAP'!$H$3:$H$501,'Plan prihoda za unos u SAP'!$C$3:$C$501,"=52",'Plan prihoda za unos u SAP'!$K$3:$K$501,"=841")</f>
        <v>0</v>
      </c>
      <c r="L80" s="189">
        <f>SUMIFS('Plan prihoda za unos u SAP'!$H$3:$H$501,'Plan prihoda za unos u SAP'!$C$3:$C$501,"=552",'Plan prihoda za unos u SAP'!$K$3:$K$501,"=841")</f>
        <v>0</v>
      </c>
      <c r="M80" s="189">
        <f>SUMIFS('Plan prihoda za unos u SAP'!$H$3:$H$501,'Plan prihoda za unos u SAP'!$C$3:$C$501,"=559",'Plan prihoda za unos u SAP'!$K$3:$K$501,"=841")</f>
        <v>0</v>
      </c>
      <c r="N80" s="189">
        <f>SUMIFS('Plan prihoda za unos u SAP'!$H$3:$H$501,'Plan prihoda za unos u SAP'!$C$3:$C$501,"=561",'Plan prihoda za unos u SAP'!$K$3:$K$501,"=841")</f>
        <v>0</v>
      </c>
      <c r="O80" s="189">
        <f>SUMIFS('Plan prihoda za unos u SAP'!$H$3:$H$501,'Plan prihoda za unos u SAP'!$C$3:$C$501,"=563",'Plan prihoda za unos u SAP'!$K$3:$K$501,"=841")</f>
        <v>0</v>
      </c>
      <c r="P80" s="189">
        <f>SUMIFS('Plan prihoda za unos u SAP'!$H$3:$H$501,'Plan prihoda za unos u SAP'!$C$3:$C$501,"=573",'Plan prihoda za unos u SAP'!$K$3:$K$501,"=841")</f>
        <v>0</v>
      </c>
      <c r="Q80" s="189">
        <f>SUMIFS('Plan prihoda za unos u SAP'!$H$3:$H$501,'Plan prihoda za unos u SAP'!$C$3:$C$501,"=575",'Plan prihoda za unos u SAP'!$K$3:$K$501,"=841")</f>
        <v>0</v>
      </c>
      <c r="R80" s="189">
        <f>SUMIFS('Plan prihoda za unos u SAP'!$H$3:$H$501,'Plan prihoda za unos u SAP'!$C$3:$C$501,"=576",'Plan prihoda za unos u SAP'!$K$3:$K$501,"=841")</f>
        <v>0</v>
      </c>
      <c r="S80" s="189">
        <f>SUMIFS('Plan prihoda za unos u SAP'!$H$3:$H$501,'Plan prihoda za unos u SAP'!$C$3:$C$501,"=61",'Plan prihoda za unos u SAP'!$K$3:$K$501,"=841")</f>
        <v>0</v>
      </c>
      <c r="T80" s="189">
        <f>SUMIFS('Plan prihoda za unos u SAP'!$H$3:$H$501,'Plan prihoda za unos u SAP'!$C$3:$C$501,"=63",'Plan prihoda za unos u SAP'!$K$3:$K$501,"=841")</f>
        <v>0</v>
      </c>
      <c r="U80" s="189">
        <f>SUMIFS('Plan prihoda za unos u SAP'!$H$3:$H$501,'Plan prihoda za unos u SAP'!$C$3:$C$501,"=71",'Plan prihoda za unos u SAP'!$K$3:$K$501,"=841")</f>
        <v>0</v>
      </c>
      <c r="V80" s="189">
        <f>SUMIFS('Plan prihoda za unos u SAP'!$H$3:$H$501,'Plan prihoda za unos u SAP'!$C$3:$C$501,"=81",'Plan prihoda za unos u SAP'!$K$3:$K$501,"=841")</f>
        <v>0</v>
      </c>
      <c r="W80" s="189">
        <f>SUMIFS('Plan prihoda za unos u SAP'!$H$3:$H$501,'Plan prihoda za unos u SAP'!$C$3:$C$501,"=83",'Plan prihoda za unos u SAP'!$K$3:$K$501,"=841")</f>
        <v>0</v>
      </c>
    </row>
    <row r="81" spans="1:29" s="90" customFormat="1" ht="25.5">
      <c r="A81" s="90">
        <v>2022</v>
      </c>
      <c r="B81" s="101">
        <v>842</v>
      </c>
      <c r="C81" s="102" t="s">
        <v>324</v>
      </c>
      <c r="D81" s="70">
        <f>SUM(E81:W81)</f>
        <v>0</v>
      </c>
      <c r="E81" s="188">
        <f>SUMIFS('Plan prihoda za unos u SAP'!$H$3:$H$501,'Plan prihoda za unos u SAP'!$C$3:$C$501,"=11",'Plan prihoda za unos u SAP'!$K$3:$K$501,"=842")</f>
        <v>0</v>
      </c>
      <c r="F81" s="188">
        <f>SUMIFS('Plan prihoda za unos u SAP'!$H$3:$H$501,'Plan prihoda za unos u SAP'!$C$3:$C$501,"=12",'Plan prihoda za unos u SAP'!$K$3:$K$501,"=842")</f>
        <v>0</v>
      </c>
      <c r="G81" s="188">
        <f>SUMIFS('Plan prihoda za unos u SAP'!$H$3:$H$501,'Plan prihoda za unos u SAP'!$C$3:$C$501,"=31",'Plan prihoda za unos u SAP'!$K$3:$K$501,"=842")</f>
        <v>0</v>
      </c>
      <c r="H81" s="188">
        <f>SUMIFS('Plan prihoda za unos u SAP'!$H$3:$H$501,'Plan prihoda za unos u SAP'!$C$3:$C$501,"=41",'Plan prihoda za unos u SAP'!$K$3:$K$501,"=842")</f>
        <v>0</v>
      </c>
      <c r="I81" s="188">
        <f>SUMIFS('Plan prihoda za unos u SAP'!$H$3:$H$501,'Plan prihoda za unos u SAP'!$C$3:$C$501,"=43",'Plan prihoda za unos u SAP'!$K$3:$K$501,"=842")</f>
        <v>0</v>
      </c>
      <c r="J81" s="188">
        <f>SUMIFS('Plan prihoda za unos u SAP'!$H$3:$H$501,'Plan prihoda za unos u SAP'!$C$3:$C$501,"=51",'Plan prihoda za unos u SAP'!$K$3:$K$501,"=842")</f>
        <v>0</v>
      </c>
      <c r="K81" s="188">
        <f>SUMIFS('Plan prihoda za unos u SAP'!$H$3:$H$501,'Plan prihoda za unos u SAP'!$C$3:$C$501,"=52",'Plan prihoda za unos u SAP'!$K$3:$K$501,"=842")</f>
        <v>0</v>
      </c>
      <c r="L81" s="188">
        <f>SUMIFS('Plan prihoda za unos u SAP'!$H$3:$H$501,'Plan prihoda za unos u SAP'!$C$3:$C$501,"=552",'Plan prihoda za unos u SAP'!$K$3:$K$501,"=842")</f>
        <v>0</v>
      </c>
      <c r="M81" s="188">
        <f>SUMIFS('Plan prihoda za unos u SAP'!$H$3:$H$501,'Plan prihoda za unos u SAP'!$C$3:$C$501,"=559",'Plan prihoda za unos u SAP'!$K$3:$K$501,"=842")</f>
        <v>0</v>
      </c>
      <c r="N81" s="188">
        <f>SUMIFS('Plan prihoda za unos u SAP'!$H$3:$H$501,'Plan prihoda za unos u SAP'!$C$3:$C$501,"=561",'Plan prihoda za unos u SAP'!$K$3:$K$501,"=842")</f>
        <v>0</v>
      </c>
      <c r="O81" s="188">
        <f>SUMIFS('Plan prihoda za unos u SAP'!$H$3:$H$501,'Plan prihoda za unos u SAP'!$C$3:$C$501,"=563",'Plan prihoda za unos u SAP'!$K$3:$K$501,"=842")</f>
        <v>0</v>
      </c>
      <c r="P81" s="188">
        <f>SUMIFS('Plan prihoda za unos u SAP'!$H$3:$H$501,'Plan prihoda za unos u SAP'!$C$3:$C$501,"=573",'Plan prihoda za unos u SAP'!$K$3:$K$501,"=842")</f>
        <v>0</v>
      </c>
      <c r="Q81" s="188">
        <f>SUMIFS('Plan prihoda za unos u SAP'!$H$3:$H$501,'Plan prihoda za unos u SAP'!$C$3:$C$501,"=575",'Plan prihoda za unos u SAP'!$K$3:$K$501,"=842")</f>
        <v>0</v>
      </c>
      <c r="R81" s="188">
        <f>SUMIFS('Plan prihoda za unos u SAP'!$H$3:$H$501,'Plan prihoda za unos u SAP'!$C$3:$C$501,"=576",'Plan prihoda za unos u SAP'!$K$3:$K$501,"=842")</f>
        <v>0</v>
      </c>
      <c r="S81" s="188">
        <f>SUMIFS('Plan prihoda za unos u SAP'!$H$3:$H$501,'Plan prihoda za unos u SAP'!$C$3:$C$501,"=61",'Plan prihoda za unos u SAP'!$K$3:$K$501,"=842")</f>
        <v>0</v>
      </c>
      <c r="T81" s="188">
        <f>SUMIFS('Plan prihoda za unos u SAP'!$H$3:$H$501,'Plan prihoda za unos u SAP'!$C$3:$C$501,"=63",'Plan prihoda za unos u SAP'!$K$3:$K$501,"=842")</f>
        <v>0</v>
      </c>
      <c r="U81" s="188">
        <f>SUMIFS('Plan prihoda za unos u SAP'!$H$3:$H$501,'Plan prihoda za unos u SAP'!$C$3:$C$501,"=71",'Plan prihoda za unos u SAP'!$K$3:$K$501,"=842")</f>
        <v>0</v>
      </c>
      <c r="V81" s="188">
        <f>SUMIFS('Plan prihoda za unos u SAP'!$H$3:$H$501,'Plan prihoda za unos u SAP'!$C$3:$C$501,"=81",'Plan prihoda za unos u SAP'!$K$3:$K$501,"=842")</f>
        <v>0</v>
      </c>
      <c r="W81" s="188">
        <f>SUMIFS('Plan prihoda za unos u SAP'!$H$3:$H$501,'Plan prihoda za unos u SAP'!$C$3:$C$501,"=83",'Plan prihoda za unos u SAP'!$K$3:$K$501,"=842")</f>
        <v>0</v>
      </c>
    </row>
    <row r="82" spans="1:29" s="90" customFormat="1">
      <c r="A82" s="90">
        <v>2022</v>
      </c>
      <c r="B82" s="98" t="s">
        <v>315</v>
      </c>
      <c r="C82" s="99" t="s">
        <v>306</v>
      </c>
      <c r="D82" s="70">
        <f>SUM(E82:W82)</f>
        <v>0</v>
      </c>
      <c r="E82" s="4">
        <f>SUM(E76:E81)</f>
        <v>0</v>
      </c>
      <c r="F82" s="4">
        <f>SUM(F76:F81)</f>
        <v>0</v>
      </c>
      <c r="G82" s="4">
        <f t="shared" ref="G82:V82" si="20">SUM(G76:G81)</f>
        <v>0</v>
      </c>
      <c r="H82" s="4">
        <f>SUM(H76:H81)</f>
        <v>0</v>
      </c>
      <c r="I82" s="4">
        <f t="shared" si="20"/>
        <v>0</v>
      </c>
      <c r="J82" s="4">
        <f>SUM(J76:J81)</f>
        <v>0</v>
      </c>
      <c r="K82" s="4">
        <f t="shared" si="20"/>
        <v>0</v>
      </c>
      <c r="L82" s="4">
        <f>SUM(L76:L81)</f>
        <v>0</v>
      </c>
      <c r="M82" s="4">
        <f t="shared" si="20"/>
        <v>0</v>
      </c>
      <c r="N82" s="4">
        <f t="shared" si="20"/>
        <v>0</v>
      </c>
      <c r="O82" s="4">
        <f>SUM(O76:O81)</f>
        <v>0</v>
      </c>
      <c r="P82" s="4">
        <f>SUM(P76:P81)</f>
        <v>0</v>
      </c>
      <c r="Q82" s="4">
        <f>SUM(Q76:Q81)</f>
        <v>0</v>
      </c>
      <c r="R82" s="4">
        <f>SUM(R76:R81)</f>
        <v>0</v>
      </c>
      <c r="S82" s="4">
        <f t="shared" si="20"/>
        <v>0</v>
      </c>
      <c r="T82" s="4">
        <f t="shared" si="20"/>
        <v>0</v>
      </c>
      <c r="U82" s="4">
        <f t="shared" si="20"/>
        <v>0</v>
      </c>
      <c r="V82" s="4">
        <f t="shared" si="20"/>
        <v>0</v>
      </c>
      <c r="W82" s="4">
        <f>SUM(W76:W81)</f>
        <v>0</v>
      </c>
    </row>
    <row r="83" spans="1:29" s="90" customFormat="1">
      <c r="A83" s="90">
        <v>2022</v>
      </c>
      <c r="B83" s="326" t="s">
        <v>316</v>
      </c>
      <c r="C83" s="326"/>
      <c r="D83" s="71">
        <f>SUM(E83:W83)</f>
        <v>175228021</v>
      </c>
      <c r="E83" s="71">
        <f t="shared" ref="E83:V83" si="21">+E82+E75+E68</f>
        <v>156373015</v>
      </c>
      <c r="F83" s="71">
        <f t="shared" si="21"/>
        <v>0</v>
      </c>
      <c r="G83" s="71">
        <f t="shared" si="21"/>
        <v>9835000</v>
      </c>
      <c r="H83" s="71">
        <f>+H82+H75+H68</f>
        <v>0</v>
      </c>
      <c r="I83" s="71">
        <f t="shared" si="21"/>
        <v>5797128</v>
      </c>
      <c r="J83" s="71">
        <f t="shared" si="21"/>
        <v>3007878</v>
      </c>
      <c r="K83" s="71">
        <f t="shared" si="21"/>
        <v>100000</v>
      </c>
      <c r="L83" s="71">
        <f>+L82+L75+L68</f>
        <v>0</v>
      </c>
      <c r="M83" s="71">
        <f>+M82+M75+M68</f>
        <v>0</v>
      </c>
      <c r="N83" s="71">
        <f t="shared" si="21"/>
        <v>0</v>
      </c>
      <c r="O83" s="71">
        <f t="shared" si="21"/>
        <v>0</v>
      </c>
      <c r="P83" s="71">
        <f>+P82+P75+P68</f>
        <v>0</v>
      </c>
      <c r="Q83" s="71">
        <f>+Q82+Q75+Q68</f>
        <v>0</v>
      </c>
      <c r="R83" s="71">
        <f>+R82+R75+R68</f>
        <v>0</v>
      </c>
      <c r="S83" s="71">
        <f t="shared" si="21"/>
        <v>115000</v>
      </c>
      <c r="T83" s="71">
        <f t="shared" si="21"/>
        <v>0</v>
      </c>
      <c r="U83" s="71">
        <f t="shared" si="21"/>
        <v>0</v>
      </c>
      <c r="V83" s="71">
        <f t="shared" si="21"/>
        <v>0</v>
      </c>
      <c r="W83" s="71">
        <f>+W82+W75+W68</f>
        <v>0</v>
      </c>
    </row>
    <row r="84" spans="1:29">
      <c r="B84" s="62"/>
      <c r="C84" s="62"/>
      <c r="D84" s="62"/>
      <c r="E84" s="62"/>
      <c r="F84" s="62"/>
      <c r="G84" s="62"/>
      <c r="H84" s="62"/>
      <c r="I84" s="103"/>
      <c r="J84" s="104"/>
      <c r="K84" s="104"/>
      <c r="L84" s="104"/>
      <c r="M84" s="104"/>
      <c r="N84" s="104"/>
      <c r="O84" s="104"/>
      <c r="P84" s="104"/>
      <c r="Q84" s="104"/>
      <c r="R84" s="104"/>
      <c r="V84" s="91"/>
      <c r="W84" s="91"/>
    </row>
    <row r="85" spans="1:29" s="90" customFormat="1" ht="15.75">
      <c r="B85" s="321" t="s">
        <v>269</v>
      </c>
      <c r="C85" s="322"/>
      <c r="D85" s="323" t="s">
        <v>2145</v>
      </c>
      <c r="E85" s="324"/>
      <c r="F85" s="324"/>
      <c r="G85" s="324"/>
      <c r="H85" s="324"/>
      <c r="I85" s="324"/>
      <c r="J85" s="324"/>
      <c r="K85" s="324"/>
      <c r="L85" s="324"/>
      <c r="M85" s="324"/>
      <c r="N85" s="324"/>
      <c r="O85" s="324"/>
      <c r="P85" s="324"/>
      <c r="Q85" s="324"/>
      <c r="R85" s="324"/>
      <c r="S85" s="324"/>
      <c r="T85" s="324"/>
      <c r="U85" s="324"/>
      <c r="V85" s="325"/>
      <c r="W85" s="218"/>
    </row>
    <row r="86" spans="1:29" s="90" customFormat="1" ht="89.25">
      <c r="A86" s="92" t="s">
        <v>2139</v>
      </c>
      <c r="B86" s="92" t="s">
        <v>270</v>
      </c>
      <c r="C86" s="92" t="s">
        <v>271</v>
      </c>
      <c r="D86" s="184" t="s">
        <v>272</v>
      </c>
      <c r="E86" s="135" t="s">
        <v>353</v>
      </c>
      <c r="F86" s="135" t="s">
        <v>325</v>
      </c>
      <c r="G86" s="93" t="s">
        <v>19</v>
      </c>
      <c r="H86" s="93" t="s">
        <v>1560</v>
      </c>
      <c r="I86" s="93" t="s">
        <v>20</v>
      </c>
      <c r="J86" s="93" t="s">
        <v>273</v>
      </c>
      <c r="K86" s="93" t="s">
        <v>274</v>
      </c>
      <c r="L86" s="93" t="s">
        <v>1561</v>
      </c>
      <c r="M86" s="93" t="s">
        <v>275</v>
      </c>
      <c r="N86" s="134" t="s">
        <v>276</v>
      </c>
      <c r="O86" s="134" t="s">
        <v>277</v>
      </c>
      <c r="P86" s="134" t="s">
        <v>1562</v>
      </c>
      <c r="Q86" s="134" t="s">
        <v>1563</v>
      </c>
      <c r="R86" s="93" t="s">
        <v>2133</v>
      </c>
      <c r="S86" s="93" t="s">
        <v>278</v>
      </c>
      <c r="T86" s="93" t="s">
        <v>279</v>
      </c>
      <c r="U86" s="93" t="s">
        <v>317</v>
      </c>
      <c r="V86" s="93" t="s">
        <v>1533</v>
      </c>
      <c r="W86" s="93"/>
    </row>
    <row r="87" spans="1:29" s="90" customFormat="1">
      <c r="A87" s="90">
        <v>2023</v>
      </c>
      <c r="B87" s="95"/>
      <c r="C87" s="96" t="s">
        <v>11</v>
      </c>
      <c r="D87" s="70">
        <f>SUM(E87:W87)</f>
        <v>-1902872</v>
      </c>
      <c r="E87" s="188">
        <f t="shared" ref="E87:V87" si="22">-E48</f>
        <v>0</v>
      </c>
      <c r="F87" s="188">
        <f t="shared" si="22"/>
        <v>0</v>
      </c>
      <c r="G87" s="188">
        <f t="shared" si="22"/>
        <v>0</v>
      </c>
      <c r="H87" s="188">
        <f>-H48</f>
        <v>0</v>
      </c>
      <c r="I87" s="188">
        <f t="shared" si="22"/>
        <v>-1902872</v>
      </c>
      <c r="J87" s="188">
        <f t="shared" si="22"/>
        <v>0</v>
      </c>
      <c r="K87" s="188">
        <f t="shared" si="22"/>
        <v>0</v>
      </c>
      <c r="L87" s="188">
        <f>-L48</f>
        <v>0</v>
      </c>
      <c r="M87" s="188">
        <f t="shared" si="22"/>
        <v>0</v>
      </c>
      <c r="N87" s="188">
        <f t="shared" si="22"/>
        <v>0</v>
      </c>
      <c r="O87" s="188">
        <f t="shared" si="22"/>
        <v>0</v>
      </c>
      <c r="P87" s="188">
        <f>-P48</f>
        <v>0</v>
      </c>
      <c r="Q87" s="188">
        <f>-Q48</f>
        <v>0</v>
      </c>
      <c r="R87" s="188">
        <f>-R48</f>
        <v>0</v>
      </c>
      <c r="S87" s="188">
        <f t="shared" si="22"/>
        <v>0</v>
      </c>
      <c r="T87" s="188">
        <f t="shared" si="22"/>
        <v>0</v>
      </c>
      <c r="U87" s="188">
        <f t="shared" si="22"/>
        <v>0</v>
      </c>
      <c r="V87" s="188">
        <f t="shared" si="22"/>
        <v>0</v>
      </c>
      <c r="W87" s="188">
        <f>-W48</f>
        <v>0</v>
      </c>
      <c r="X87" s="94"/>
      <c r="Y87" s="94"/>
      <c r="Z87" s="94"/>
      <c r="AA87" s="94"/>
      <c r="AB87" s="94"/>
      <c r="AC87" s="94"/>
    </row>
    <row r="88" spans="1:29" s="90" customFormat="1">
      <c r="A88" s="90">
        <v>2023</v>
      </c>
      <c r="B88" s="114"/>
      <c r="C88" s="115" t="s">
        <v>349</v>
      </c>
      <c r="D88" s="70">
        <f t="shared" ref="D88:D123" si="23">SUM(E88:W88)</f>
        <v>175067629</v>
      </c>
      <c r="E88" s="14">
        <f t="shared" ref="E88:V88" si="24">+E109+E116</f>
        <v>157684699</v>
      </c>
      <c r="F88" s="14">
        <f t="shared" si="24"/>
        <v>0</v>
      </c>
      <c r="G88" s="14">
        <f t="shared" si="24"/>
        <v>9835000</v>
      </c>
      <c r="H88" s="14">
        <f>+H109+H116</f>
        <v>0</v>
      </c>
      <c r="I88" s="14">
        <f t="shared" si="24"/>
        <v>6122749</v>
      </c>
      <c r="J88" s="14">
        <f t="shared" si="24"/>
        <v>1325181</v>
      </c>
      <c r="K88" s="14">
        <f t="shared" si="24"/>
        <v>100000</v>
      </c>
      <c r="L88" s="14">
        <f>+L109+L116</f>
        <v>0</v>
      </c>
      <c r="M88" s="14">
        <f t="shared" si="24"/>
        <v>0</v>
      </c>
      <c r="N88" s="14">
        <f t="shared" si="24"/>
        <v>0</v>
      </c>
      <c r="O88" s="14">
        <f t="shared" si="24"/>
        <v>0</v>
      </c>
      <c r="P88" s="14">
        <f>+P109+P116</f>
        <v>0</v>
      </c>
      <c r="Q88" s="14">
        <f>+Q109+Q116</f>
        <v>0</v>
      </c>
      <c r="R88" s="14">
        <f>+R109+R116</f>
        <v>0</v>
      </c>
      <c r="S88" s="14">
        <f t="shared" si="24"/>
        <v>0</v>
      </c>
      <c r="T88" s="14">
        <f t="shared" si="24"/>
        <v>0</v>
      </c>
      <c r="U88" s="14">
        <f t="shared" si="24"/>
        <v>0</v>
      </c>
      <c r="V88" s="14">
        <f t="shared" si="24"/>
        <v>0</v>
      </c>
      <c r="W88" s="14">
        <f>+W109+W116</f>
        <v>0</v>
      </c>
    </row>
    <row r="89" spans="1:29" s="90" customFormat="1">
      <c r="A89" s="90">
        <v>2023</v>
      </c>
      <c r="B89" s="95"/>
      <c r="C89" s="96" t="s">
        <v>352</v>
      </c>
      <c r="D89" s="70">
        <f t="shared" si="23"/>
        <v>3480123</v>
      </c>
      <c r="E89" s="113"/>
      <c r="F89" s="113"/>
      <c r="G89" s="113"/>
      <c r="H89" s="113"/>
      <c r="I89" s="113">
        <v>3480123</v>
      </c>
      <c r="J89" s="113"/>
      <c r="K89" s="113"/>
      <c r="L89" s="113"/>
      <c r="M89" s="3"/>
      <c r="N89" s="113"/>
      <c r="O89" s="113"/>
      <c r="P89" s="113"/>
      <c r="Q89" s="113"/>
      <c r="R89" s="113"/>
      <c r="S89" s="113"/>
      <c r="T89" s="113"/>
      <c r="U89" s="113"/>
      <c r="V89" s="113"/>
      <c r="W89" s="113"/>
      <c r="X89" s="94"/>
      <c r="Y89" s="94"/>
      <c r="Z89" s="94"/>
      <c r="AA89" s="94"/>
      <c r="AB89" s="94"/>
      <c r="AC89" s="94"/>
    </row>
    <row r="90" spans="1:29" s="90" customFormat="1">
      <c r="A90" s="90">
        <v>2023</v>
      </c>
      <c r="B90" s="114"/>
      <c r="C90" s="115" t="s">
        <v>280</v>
      </c>
      <c r="D90" s="70">
        <f t="shared" si="23"/>
        <v>176644880</v>
      </c>
      <c r="E90" s="14">
        <f>+E87+E88+E89</f>
        <v>157684699</v>
      </c>
      <c r="F90" s="14">
        <f t="shared" ref="F90:V90" si="25">+F87+F88+F89</f>
        <v>0</v>
      </c>
      <c r="G90" s="14">
        <f t="shared" si="25"/>
        <v>9835000</v>
      </c>
      <c r="H90" s="14">
        <f>+H87+H88+H89</f>
        <v>0</v>
      </c>
      <c r="I90" s="14">
        <f t="shared" si="25"/>
        <v>7700000</v>
      </c>
      <c r="J90" s="14">
        <f t="shared" si="25"/>
        <v>1325181</v>
      </c>
      <c r="K90" s="14">
        <f t="shared" si="25"/>
        <v>100000</v>
      </c>
      <c r="L90" s="14">
        <f>+L87+L88+L89</f>
        <v>0</v>
      </c>
      <c r="M90" s="14">
        <f t="shared" si="25"/>
        <v>0</v>
      </c>
      <c r="N90" s="14">
        <f t="shared" si="25"/>
        <v>0</v>
      </c>
      <c r="O90" s="14">
        <f t="shared" si="25"/>
        <v>0</v>
      </c>
      <c r="P90" s="14">
        <f>+P87+P88+P89</f>
        <v>0</v>
      </c>
      <c r="Q90" s="14">
        <f>+Q87+Q88+Q89</f>
        <v>0</v>
      </c>
      <c r="R90" s="14">
        <f>+R87+R88+R89</f>
        <v>0</v>
      </c>
      <c r="S90" s="14">
        <f t="shared" si="25"/>
        <v>0</v>
      </c>
      <c r="T90" s="14">
        <f t="shared" si="25"/>
        <v>0</v>
      </c>
      <c r="U90" s="14">
        <f t="shared" si="25"/>
        <v>0</v>
      </c>
      <c r="V90" s="14">
        <f t="shared" si="25"/>
        <v>0</v>
      </c>
      <c r="W90" s="14">
        <f>+W87+W88+W89</f>
        <v>0</v>
      </c>
    </row>
    <row r="91" spans="1:29" s="90" customFormat="1">
      <c r="A91" s="90">
        <v>2023</v>
      </c>
      <c r="B91" s="111"/>
      <c r="C91" s="112" t="s">
        <v>235</v>
      </c>
      <c r="D91" s="70">
        <f t="shared" si="23"/>
        <v>176644880</v>
      </c>
      <c r="E91" s="136">
        <f>+'PLAN RASHODA I IZDATAKA'!E91</f>
        <v>157684699</v>
      </c>
      <c r="F91" s="136">
        <f>+'PLAN RASHODA I IZDATAKA'!F91</f>
        <v>0</v>
      </c>
      <c r="G91" s="136">
        <f>+'PLAN RASHODA I IZDATAKA'!G91</f>
        <v>9835000</v>
      </c>
      <c r="H91" s="136">
        <f>+'PLAN RASHODA I IZDATAKA'!H91</f>
        <v>0</v>
      </c>
      <c r="I91" s="136">
        <f>+'PLAN RASHODA I IZDATAKA'!I91</f>
        <v>7700000</v>
      </c>
      <c r="J91" s="136">
        <f>+'PLAN RASHODA I IZDATAKA'!J91</f>
        <v>1325181</v>
      </c>
      <c r="K91" s="136">
        <f>+'PLAN RASHODA I IZDATAKA'!K91</f>
        <v>100000</v>
      </c>
      <c r="L91" s="136">
        <f>+'PLAN RASHODA I IZDATAKA'!L91</f>
        <v>0</v>
      </c>
      <c r="M91" s="136">
        <f>+'PLAN RASHODA I IZDATAKA'!M91</f>
        <v>0</v>
      </c>
      <c r="N91" s="136">
        <f>+'PLAN RASHODA I IZDATAKA'!N91</f>
        <v>0</v>
      </c>
      <c r="O91" s="136">
        <f>+'PLAN RASHODA I IZDATAKA'!O91</f>
        <v>0</v>
      </c>
      <c r="P91" s="136">
        <f>+'PLAN RASHODA I IZDATAKA'!P91</f>
        <v>0</v>
      </c>
      <c r="Q91" s="136">
        <f>+'PLAN RASHODA I IZDATAKA'!Q91</f>
        <v>0</v>
      </c>
      <c r="R91" s="136">
        <f>+'PLAN RASHODA I IZDATAKA'!R91</f>
        <v>0</v>
      </c>
      <c r="S91" s="136">
        <f>+'PLAN RASHODA I IZDATAKA'!S91</f>
        <v>0</v>
      </c>
      <c r="T91" s="136">
        <f>+'PLAN RASHODA I IZDATAKA'!T91</f>
        <v>0</v>
      </c>
      <c r="U91" s="136">
        <f>+'PLAN RASHODA I IZDATAKA'!U91</f>
        <v>0</v>
      </c>
      <c r="V91" s="136">
        <f>+'PLAN RASHODA I IZDATAKA'!V91</f>
        <v>0</v>
      </c>
      <c r="W91" s="136">
        <f>+'PLAN RASHODA I IZDATAKA'!W91</f>
        <v>0</v>
      </c>
      <c r="X91" s="94"/>
      <c r="Y91" s="94"/>
      <c r="Z91" s="94"/>
      <c r="AA91" s="94"/>
      <c r="AB91" s="94"/>
      <c r="AC91" s="94"/>
    </row>
    <row r="92" spans="1:29" s="90" customFormat="1" ht="13.5" thickBot="1">
      <c r="A92" s="90">
        <v>2023</v>
      </c>
      <c r="B92" s="116"/>
      <c r="C92" s="117" t="s">
        <v>351</v>
      </c>
      <c r="D92" s="69">
        <f>SUM(E92:W92)</f>
        <v>0</v>
      </c>
      <c r="E92" s="118">
        <f>+E90-E91</f>
        <v>0</v>
      </c>
      <c r="F92" s="118">
        <f t="shared" ref="F92:V92" si="26">+F90-F91</f>
        <v>0</v>
      </c>
      <c r="G92" s="118">
        <f t="shared" si="26"/>
        <v>0</v>
      </c>
      <c r="H92" s="118">
        <f>+H90-H91</f>
        <v>0</v>
      </c>
      <c r="I92" s="118">
        <f t="shared" si="26"/>
        <v>0</v>
      </c>
      <c r="J92" s="118">
        <f t="shared" si="26"/>
        <v>0</v>
      </c>
      <c r="K92" s="118">
        <f t="shared" si="26"/>
        <v>0</v>
      </c>
      <c r="L92" s="118">
        <f>+L90-L91</f>
        <v>0</v>
      </c>
      <c r="M92" s="118">
        <f t="shared" si="26"/>
        <v>0</v>
      </c>
      <c r="N92" s="118">
        <f t="shared" si="26"/>
        <v>0</v>
      </c>
      <c r="O92" s="118">
        <f t="shared" si="26"/>
        <v>0</v>
      </c>
      <c r="P92" s="118">
        <f>+P90-P91</f>
        <v>0</v>
      </c>
      <c r="Q92" s="118">
        <f>+Q90-Q91</f>
        <v>0</v>
      </c>
      <c r="R92" s="118">
        <f>+R90-R91</f>
        <v>0</v>
      </c>
      <c r="S92" s="118">
        <f t="shared" si="26"/>
        <v>0</v>
      </c>
      <c r="T92" s="118">
        <f t="shared" si="26"/>
        <v>0</v>
      </c>
      <c r="U92" s="118">
        <f t="shared" si="26"/>
        <v>0</v>
      </c>
      <c r="V92" s="118">
        <f t="shared" si="26"/>
        <v>0</v>
      </c>
      <c r="W92" s="118">
        <f>+W90-W91</f>
        <v>0</v>
      </c>
    </row>
    <row r="93" spans="1:29" s="90" customFormat="1">
      <c r="A93" s="90">
        <v>2023</v>
      </c>
      <c r="B93" s="97" t="s">
        <v>1565</v>
      </c>
      <c r="C93" s="110" t="s">
        <v>1566</v>
      </c>
      <c r="D93" s="70">
        <f>SUM(E93:W93)</f>
        <v>0</v>
      </c>
      <c r="E93" s="189">
        <f>SUMIFS('Plan prihoda za unos u SAP'!$I$3:$I$501,'Plan prihoda za unos u SAP'!$C$3:$C$501,"=11",'Plan prihoda za unos u SAP'!$K$3:$K$501,"=614")</f>
        <v>0</v>
      </c>
      <c r="F93" s="189">
        <f>SUMIFS('Plan prihoda za unos u SAP'!$I$3:$I$501,'Plan prihoda za unos u SAP'!$C$3:$C$501,"=12",'Plan prihoda za unos u SAP'!$K$3:$K$501,"=614")</f>
        <v>0</v>
      </c>
      <c r="G93" s="189">
        <f>SUMIFS('Plan prihoda za unos u SAP'!$I$3:$I$501,'Plan prihoda za unos u SAP'!$C$3:$C$501,"=31",'Plan prihoda za unos u SAP'!$K$3:$K$501,"=614")</f>
        <v>0</v>
      </c>
      <c r="H93" s="189">
        <f>SUMIFS('Plan prihoda za unos u SAP'!$I$3:$I$501,'Plan prihoda za unos u SAP'!$C$3:$C$501,"=41",'Plan prihoda za unos u SAP'!$K$3:$K$501,"=614")</f>
        <v>0</v>
      </c>
      <c r="I93" s="189">
        <f>SUMIFS('Plan prihoda za unos u SAP'!$I$3:$I$501,'Plan prihoda za unos u SAP'!$C$3:$C$501,"=43",'Plan prihoda za unos u SAP'!$K$3:$K$501,"=614")</f>
        <v>0</v>
      </c>
      <c r="J93" s="189">
        <f>SUMIFS('Plan prihoda za unos u SAP'!$I$3:$I$501,'Plan prihoda za unos u SAP'!$C$3:$C$501,"=51",'Plan prihoda za unos u SAP'!$K$3:$K$501,"=614")</f>
        <v>0</v>
      </c>
      <c r="K93" s="189">
        <f>SUMIFS('Plan prihoda za unos u SAP'!$I$3:$I$501,'Plan prihoda za unos u SAP'!$C$3:$C$501,"=52",'Plan prihoda za unos u SAP'!$K$3:$K$501,"=614")</f>
        <v>0</v>
      </c>
      <c r="L93" s="189">
        <f>SUMIFS('Plan prihoda za unos u SAP'!$I$3:$I$501,'Plan prihoda za unos u SAP'!$C$3:$C$501,"=552",'Plan prihoda za unos u SAP'!$K$3:$K$501,"=614")</f>
        <v>0</v>
      </c>
      <c r="M93" s="189">
        <f>SUMIFS('Plan prihoda za unos u SAP'!$I$3:$I$501,'Plan prihoda za unos u SAP'!$C$3:$C$501,"=559",'Plan prihoda za unos u SAP'!$K$3:$K$501,"=614")</f>
        <v>0</v>
      </c>
      <c r="N93" s="189">
        <f>SUMIFS('Plan prihoda za unos u SAP'!$I$3:$I$501,'Plan prihoda za unos u SAP'!$C$3:$C$501,"=561",'Plan prihoda za unos u SAP'!$K$3:$K$501,"=614")</f>
        <v>0</v>
      </c>
      <c r="O93" s="189">
        <f>SUMIFS('Plan prihoda za unos u SAP'!$I$3:$I$501,'Plan prihoda za unos u SAP'!$C$3:$C$501,"=563",'Plan prihoda za unos u SAP'!$K$3:$K$501,"=614")</f>
        <v>0</v>
      </c>
      <c r="P93" s="189">
        <f>SUMIFS('Plan prihoda za unos u SAP'!$I$3:$I$501,'Plan prihoda za unos u SAP'!$C$3:$C$501,"=573",'Plan prihoda za unos u SAP'!$K$3:$K$501,"=614")</f>
        <v>0</v>
      </c>
      <c r="Q93" s="189">
        <f>SUMIFS('Plan prihoda za unos u SAP'!$I$3:$I$501,'Plan prihoda za unos u SAP'!$C$3:$C$501,"=575",'Plan prihoda za unos u SAP'!$K$3:$K$501,"=614")</f>
        <v>0</v>
      </c>
      <c r="R93" s="189">
        <f>SUMIFS('Plan prihoda za unos u SAP'!$I$3:$I$501,'Plan prihoda za unos u SAP'!$C$3:$C$501,"=576",'Plan prihoda za unos u SAP'!$K$3:$K$501,"=614")</f>
        <v>0</v>
      </c>
      <c r="S93" s="189">
        <f>SUMIFS('Plan prihoda za unos u SAP'!$I$3:$I$501,'Plan prihoda za unos u SAP'!$C$3:$C$501,"=61",'Plan prihoda za unos u SAP'!$K$3:$K$501,"=614")</f>
        <v>0</v>
      </c>
      <c r="T93" s="189">
        <f>SUMIFS('Plan prihoda za unos u SAP'!$I$3:$I$501,'Plan prihoda za unos u SAP'!$C$3:$C$501,"=63",'Plan prihoda za unos u SAP'!$K$3:$K$501,"=614")</f>
        <v>0</v>
      </c>
      <c r="U93" s="189">
        <f>SUMIFS('Plan prihoda za unos u SAP'!$I$3:$I$501,'Plan prihoda za unos u SAP'!$C$3:$C$501,"=71",'Plan prihoda za unos u SAP'!$K$3:$K$501,"=614")</f>
        <v>0</v>
      </c>
      <c r="V93" s="189">
        <f>SUMIFS('Plan prihoda za unos u SAP'!$I$3:$I$501,'Plan prihoda za unos u SAP'!$C$3:$C$501,"=81",'Plan prihoda za unos u SAP'!$K$3:$K$501,"=614")</f>
        <v>0</v>
      </c>
      <c r="W93" s="189">
        <f>SUMIFS('Plan prihoda za unos u SAP'!$I$3:$I$501,'Plan prihoda za unos u SAP'!$C$3:$C$501,"=83",'Plan prihoda za unos u SAP'!$K$3:$K$501,"=614")</f>
        <v>0</v>
      </c>
    </row>
    <row r="94" spans="1:29" s="90" customFormat="1">
      <c r="A94" s="90">
        <v>2023</v>
      </c>
      <c r="B94" s="97" t="s">
        <v>281</v>
      </c>
      <c r="C94" s="96" t="s">
        <v>282</v>
      </c>
      <c r="D94" s="70">
        <f t="shared" si="23"/>
        <v>0</v>
      </c>
      <c r="E94" s="189">
        <f>SUMIFS('Plan prihoda za unos u SAP'!$I$3:$I$501,'Plan prihoda za unos u SAP'!$C$3:$C$501,"=11",'Plan prihoda za unos u SAP'!$K$3:$K$501,"=631")</f>
        <v>0</v>
      </c>
      <c r="F94" s="189">
        <f>SUMIFS('Plan prihoda za unos u SAP'!$I$3:$I$501,'Plan prihoda za unos u SAP'!$C$3:$C$501,"=12",'Plan prihoda za unos u SAP'!$K$3:$K$501,"=631")</f>
        <v>0</v>
      </c>
      <c r="G94" s="189">
        <f>SUMIFS('Plan prihoda za unos u SAP'!$I$3:$I$501,'Plan prihoda za unos u SAP'!$C$3:$C$501,"=31",'Plan prihoda za unos u SAP'!$K$3:$K$501,"=631")</f>
        <v>0</v>
      </c>
      <c r="H94" s="189">
        <f>SUMIFS('Plan prihoda za unos u SAP'!$I$3:$I$501,'Plan prihoda za unos u SAP'!$C$3:$C$501,"=41",'Plan prihoda za unos u SAP'!$K$3:$K$501,"=631")</f>
        <v>0</v>
      </c>
      <c r="I94" s="189">
        <f>SUMIFS('Plan prihoda za unos u SAP'!$I$3:$I$501,'Plan prihoda za unos u SAP'!$C$3:$C$501,"=43",'Plan prihoda za unos u SAP'!$K$3:$K$501,"=631")</f>
        <v>0</v>
      </c>
      <c r="J94" s="189">
        <f>SUMIFS('Plan prihoda za unos u SAP'!$I$3:$I$501,'Plan prihoda za unos u SAP'!$C$3:$C$501,"=51",'Plan prihoda za unos u SAP'!$K$3:$K$501,"=631")</f>
        <v>0</v>
      </c>
      <c r="K94" s="189">
        <f>SUMIFS('Plan prihoda za unos u SAP'!$I$3:$I$501,'Plan prihoda za unos u SAP'!$C$3:$C$501,"=52",'Plan prihoda za unos u SAP'!$K$3:$K$501,"=631")</f>
        <v>0</v>
      </c>
      <c r="L94" s="189">
        <f>SUMIFS('Plan prihoda za unos u SAP'!$I$3:$I$501,'Plan prihoda za unos u SAP'!$C$3:$C$501,"=552",'Plan prihoda za unos u SAP'!$K$3:$K$501,"=631")</f>
        <v>0</v>
      </c>
      <c r="M94" s="189">
        <f>SUMIFS('Plan prihoda za unos u SAP'!$I$3:$I$501,'Plan prihoda za unos u SAP'!$C$3:$C$501,"=559",'Plan prihoda za unos u SAP'!$K$3:$K$501,"=631")</f>
        <v>0</v>
      </c>
      <c r="N94" s="189">
        <f>SUMIFS('Plan prihoda za unos u SAP'!$I$3:$I$501,'Plan prihoda za unos u SAP'!$C$3:$C$501,"=561",'Plan prihoda za unos u SAP'!$K$3:$K$501,"=631")</f>
        <v>0</v>
      </c>
      <c r="O94" s="189">
        <f>SUMIFS('Plan prihoda za unos u SAP'!$I$3:$I$501,'Plan prihoda za unos u SAP'!$C$3:$C$501,"=563",'Plan prihoda za unos u SAP'!$K$3:$K$501,"=631")</f>
        <v>0</v>
      </c>
      <c r="P94" s="189">
        <f>SUMIFS('Plan prihoda za unos u SAP'!$I$3:$I$501,'Plan prihoda za unos u SAP'!$C$3:$C$501,"=573",'Plan prihoda za unos u SAP'!$K$3:$K$501,"=631")</f>
        <v>0</v>
      </c>
      <c r="Q94" s="189">
        <f>SUMIFS('Plan prihoda za unos u SAP'!$I$3:$I$501,'Plan prihoda za unos u SAP'!$C$3:$C$501,"=575",'Plan prihoda za unos u SAP'!$K$3:$K$501,"=631")</f>
        <v>0</v>
      </c>
      <c r="R94" s="189">
        <f>SUMIFS('Plan prihoda za unos u SAP'!$I$3:$I$501,'Plan prihoda za unos u SAP'!$C$3:$C$501,"=576",'Plan prihoda za unos u SAP'!$K$3:$K$501,"=631")</f>
        <v>0</v>
      </c>
      <c r="S94" s="189">
        <f>SUMIFS('Plan prihoda za unos u SAP'!$I$3:$I$501,'Plan prihoda za unos u SAP'!$C$3:$C$501,"=61",'Plan prihoda za unos u SAP'!$K$3:$K$501,"=631")</f>
        <v>0</v>
      </c>
      <c r="T94" s="189">
        <f>SUMIFS('Plan prihoda za unos u SAP'!$I$3:$I$501,'Plan prihoda za unos u SAP'!$C$3:$C$501,"=63",'Plan prihoda za unos u SAP'!$K$3:$K$501,"=631")</f>
        <v>0</v>
      </c>
      <c r="U94" s="189">
        <f>SUMIFS('Plan prihoda za unos u SAP'!$I$3:$I$501,'Plan prihoda za unos u SAP'!$C$3:$C$501,"=71",'Plan prihoda za unos u SAP'!$K$3:$K$501,"=631")</f>
        <v>0</v>
      </c>
      <c r="V94" s="189">
        <f>SUMIFS('Plan prihoda za unos u SAP'!$I$3:$I$501,'Plan prihoda za unos u SAP'!$C$3:$C$501,"=81",'Plan prihoda za unos u SAP'!$K$3:$K$501,"=631")</f>
        <v>0</v>
      </c>
      <c r="W94" s="189">
        <f>SUMIFS('Plan prihoda za unos u SAP'!$I$3:$I$501,'Plan prihoda za unos u SAP'!$C$3:$C$501,"=83",'Plan prihoda za unos u SAP'!$K$3:$K$501,"=631")</f>
        <v>0</v>
      </c>
    </row>
    <row r="95" spans="1:29" s="90" customFormat="1">
      <c r="A95" s="90">
        <v>2023</v>
      </c>
      <c r="B95" s="95" t="s">
        <v>283</v>
      </c>
      <c r="C95" s="96" t="s">
        <v>284</v>
      </c>
      <c r="D95" s="70">
        <f t="shared" si="23"/>
        <v>1425181</v>
      </c>
      <c r="E95" s="189">
        <f>SUMIFS('Plan prihoda za unos u SAP'!$I$3:$I$501,'Plan prihoda za unos u SAP'!$C$3:$C$501,"=11",'Plan prihoda za unos u SAP'!$K$3:$K$501,"=632")</f>
        <v>0</v>
      </c>
      <c r="F95" s="189">
        <f>SUMIFS('Plan prihoda za unos u SAP'!$I$3:$I$501,'Plan prihoda za unos u SAP'!$C$3:$C$501,"=12",'Plan prihoda za unos u SAP'!$K$3:$K$501,"=632")</f>
        <v>0</v>
      </c>
      <c r="G95" s="189">
        <f>SUMIFS('Plan prihoda za unos u SAP'!$I$3:$I$501,'Plan prihoda za unos u SAP'!$C$3:$C$501,"=31",'Plan prihoda za unos u SAP'!$K$3:$K$501,"=632")</f>
        <v>0</v>
      </c>
      <c r="H95" s="189">
        <f>SUMIFS('Plan prihoda za unos u SAP'!$I$3:$I$501,'Plan prihoda za unos u SAP'!$C$3:$C$501,"=41",'Plan prihoda za unos u SAP'!$K$3:$K$501,"=632")</f>
        <v>0</v>
      </c>
      <c r="I95" s="189">
        <f>SUMIFS('Plan prihoda za unos u SAP'!$I$3:$I$501,'Plan prihoda za unos u SAP'!$C$3:$C$501,"=43",'Plan prihoda za unos u SAP'!$K$3:$K$501,"=632")</f>
        <v>0</v>
      </c>
      <c r="J95" s="189">
        <f>SUMIFS('Plan prihoda za unos u SAP'!$I$3:$I$501,'Plan prihoda za unos u SAP'!$C$3:$C$501,"=51",'Plan prihoda za unos u SAP'!$K$3:$K$501,"=632")</f>
        <v>1325181</v>
      </c>
      <c r="K95" s="189">
        <f>SUMIFS('Plan prihoda za unos u SAP'!$I$3:$I$501,'Plan prihoda za unos u SAP'!$C$3:$C$501,"=52",'Plan prihoda za unos u SAP'!$K$3:$K$501,"=632")</f>
        <v>100000</v>
      </c>
      <c r="L95" s="189">
        <f>SUMIFS('Plan prihoda za unos u SAP'!$I$3:$I$501,'Plan prihoda za unos u SAP'!$C$3:$C$501,"=552",'Plan prihoda za unos u SAP'!$K$3:$K$501,"=632")</f>
        <v>0</v>
      </c>
      <c r="M95" s="189">
        <f>SUMIFS('Plan prihoda za unos u SAP'!$I$3:$I$501,'Plan prihoda za unos u SAP'!$C$3:$C$501,"=559",'Plan prihoda za unos u SAP'!$K$3:$K$501,"=632")</f>
        <v>0</v>
      </c>
      <c r="N95" s="189">
        <f>SUMIFS('Plan prihoda za unos u SAP'!$I$3:$I$501,'Plan prihoda za unos u SAP'!$C$3:$C$501,"=561",'Plan prihoda za unos u SAP'!$K$3:$K$501,"=632")</f>
        <v>0</v>
      </c>
      <c r="O95" s="189">
        <f>SUMIFS('Plan prihoda za unos u SAP'!$I$3:$I$501,'Plan prihoda za unos u SAP'!$C$3:$C$501,"=563",'Plan prihoda za unos u SAP'!$K$3:$K$501,"=632")</f>
        <v>0</v>
      </c>
      <c r="P95" s="189">
        <f>SUMIFS('Plan prihoda za unos u SAP'!$I$3:$I$501,'Plan prihoda za unos u SAP'!$C$3:$C$501,"=573",'Plan prihoda za unos u SAP'!$K$3:$K$501,"=632")</f>
        <v>0</v>
      </c>
      <c r="Q95" s="189">
        <f>SUMIFS('Plan prihoda za unos u SAP'!$I$3:$I$501,'Plan prihoda za unos u SAP'!$C$3:$C$501,"=575",'Plan prihoda za unos u SAP'!$K$3:$K$501,"=632")</f>
        <v>0</v>
      </c>
      <c r="R95" s="189">
        <f>SUMIFS('Plan prihoda za unos u SAP'!$I$3:$I$501,'Plan prihoda za unos u SAP'!$C$3:$C$501,"=576",'Plan prihoda za unos u SAP'!$K$3:$K$501,"=632")</f>
        <v>0</v>
      </c>
      <c r="S95" s="189">
        <f>SUMIFS('Plan prihoda za unos u SAP'!$I$3:$I$501,'Plan prihoda za unos u SAP'!$C$3:$C$501,"=61",'Plan prihoda za unos u SAP'!$K$3:$K$501,"=632")</f>
        <v>0</v>
      </c>
      <c r="T95" s="189">
        <f>SUMIFS('Plan prihoda za unos u SAP'!$I$3:$I$501,'Plan prihoda za unos u SAP'!$C$3:$C$501,"=63",'Plan prihoda za unos u SAP'!$K$3:$K$501,"=632")</f>
        <v>0</v>
      </c>
      <c r="U95" s="189">
        <f>SUMIFS('Plan prihoda za unos u SAP'!$I$3:$I$501,'Plan prihoda za unos u SAP'!$C$3:$C$501,"=71",'Plan prihoda za unos u SAP'!$K$3:$K$501,"=632")</f>
        <v>0</v>
      </c>
      <c r="V95" s="189">
        <f>SUMIFS('Plan prihoda za unos u SAP'!$I$3:$I$501,'Plan prihoda za unos u SAP'!$C$3:$C$501,"=81",'Plan prihoda za unos u SAP'!$K$3:$K$501,"=632")</f>
        <v>0</v>
      </c>
      <c r="W95" s="189">
        <f>SUMIFS('Plan prihoda za unos u SAP'!$I$3:$I$501,'Plan prihoda za unos u SAP'!$C$3:$C$501,"=83",'Plan prihoda za unos u SAP'!$K$3:$K$501,"=632")</f>
        <v>0</v>
      </c>
    </row>
    <row r="96" spans="1:29" s="90" customFormat="1">
      <c r="A96" s="90">
        <v>2023</v>
      </c>
      <c r="B96" s="95" t="s">
        <v>285</v>
      </c>
      <c r="C96" s="96" t="s">
        <v>286</v>
      </c>
      <c r="D96" s="70">
        <f t="shared" si="23"/>
        <v>0</v>
      </c>
      <c r="E96" s="189">
        <f>SUMIFS('Plan prihoda za unos u SAP'!$I$3:$I$501,'Plan prihoda za unos u SAP'!$C$3:$C$501,"=11",'Plan prihoda za unos u SAP'!$K$3:$K$501,"=634")</f>
        <v>0</v>
      </c>
      <c r="F96" s="189">
        <f>SUMIFS('Plan prihoda za unos u SAP'!$I$3:$I$501,'Plan prihoda za unos u SAP'!$C$3:$C$501,"=12",'Plan prihoda za unos u SAP'!$K$3:$K$501,"=634")</f>
        <v>0</v>
      </c>
      <c r="G96" s="189">
        <f>SUMIFS('Plan prihoda za unos u SAP'!$I$3:$I$501,'Plan prihoda za unos u SAP'!$C$3:$C$501,"=31",'Plan prihoda za unos u SAP'!$K$3:$K$501,"=634")</f>
        <v>0</v>
      </c>
      <c r="H96" s="189">
        <f>SUMIFS('Plan prihoda za unos u SAP'!$I$3:$I$501,'Plan prihoda za unos u SAP'!$C$3:$C$501,"=41",'Plan prihoda za unos u SAP'!$K$3:$K$501,"=634")</f>
        <v>0</v>
      </c>
      <c r="I96" s="189">
        <f>SUMIFS('Plan prihoda za unos u SAP'!$I$3:$I$501,'Plan prihoda za unos u SAP'!$C$3:$C$501,"=43",'Plan prihoda za unos u SAP'!$K$3:$K$501,"=634")</f>
        <v>0</v>
      </c>
      <c r="J96" s="189">
        <f>SUMIFS('Plan prihoda za unos u SAP'!$I$3:$I$501,'Plan prihoda za unos u SAP'!$C$3:$C$501,"=51",'Plan prihoda za unos u SAP'!$K$3:$K$501,"=634")</f>
        <v>0</v>
      </c>
      <c r="K96" s="189">
        <f>SUMIFS('Plan prihoda za unos u SAP'!$I$3:$I$501,'Plan prihoda za unos u SAP'!$C$3:$C$501,"=52",'Plan prihoda za unos u SAP'!$K$3:$K$501,"=634")</f>
        <v>0</v>
      </c>
      <c r="L96" s="189">
        <f>SUMIFS('Plan prihoda za unos u SAP'!$I$3:$I$501,'Plan prihoda za unos u SAP'!$C$3:$C$501,"=552",'Plan prihoda za unos u SAP'!$K$3:$K$501,"=634")</f>
        <v>0</v>
      </c>
      <c r="M96" s="189">
        <f>SUMIFS('Plan prihoda za unos u SAP'!$I$3:$I$501,'Plan prihoda za unos u SAP'!$C$3:$C$501,"=559",'Plan prihoda za unos u SAP'!$K$3:$K$501,"=634")</f>
        <v>0</v>
      </c>
      <c r="N96" s="189">
        <f>SUMIFS('Plan prihoda za unos u SAP'!$I$3:$I$501,'Plan prihoda za unos u SAP'!$C$3:$C$501,"=561",'Plan prihoda za unos u SAP'!$K$3:$K$501,"=634")</f>
        <v>0</v>
      </c>
      <c r="O96" s="189">
        <f>SUMIFS('Plan prihoda za unos u SAP'!$I$3:$I$501,'Plan prihoda za unos u SAP'!$C$3:$C$501,"=563",'Plan prihoda za unos u SAP'!$K$3:$K$501,"=634")</f>
        <v>0</v>
      </c>
      <c r="P96" s="189">
        <f>SUMIFS('Plan prihoda za unos u SAP'!$I$3:$I$501,'Plan prihoda za unos u SAP'!$C$3:$C$501,"=573",'Plan prihoda za unos u SAP'!$K$3:$K$501,"=634")</f>
        <v>0</v>
      </c>
      <c r="Q96" s="189">
        <f>SUMIFS('Plan prihoda za unos u SAP'!$I$3:$I$501,'Plan prihoda za unos u SAP'!$C$3:$C$501,"=575",'Plan prihoda za unos u SAP'!$K$3:$K$501,"=634")</f>
        <v>0</v>
      </c>
      <c r="R96" s="189">
        <f>SUMIFS('Plan prihoda za unos u SAP'!$I$3:$I$501,'Plan prihoda za unos u SAP'!$C$3:$C$501,"=576",'Plan prihoda za unos u SAP'!$K$3:$K$501,"=634")</f>
        <v>0</v>
      </c>
      <c r="S96" s="189">
        <f>SUMIFS('Plan prihoda za unos u SAP'!$I$3:$I$501,'Plan prihoda za unos u SAP'!$C$3:$C$501,"=61",'Plan prihoda za unos u SAP'!$K$3:$K$501,"=634")</f>
        <v>0</v>
      </c>
      <c r="T96" s="189">
        <f>SUMIFS('Plan prihoda za unos u SAP'!$I$3:$I$501,'Plan prihoda za unos u SAP'!$C$3:$C$501,"=63",'Plan prihoda za unos u SAP'!$K$3:$K$501,"=634")</f>
        <v>0</v>
      </c>
      <c r="U96" s="189">
        <f>SUMIFS('Plan prihoda za unos u SAP'!$I$3:$I$501,'Plan prihoda za unos u SAP'!$C$3:$C$501,"=71",'Plan prihoda za unos u SAP'!$K$3:$K$501,"=634")</f>
        <v>0</v>
      </c>
      <c r="V96" s="189">
        <f>SUMIFS('Plan prihoda za unos u SAP'!$I$3:$I$501,'Plan prihoda za unos u SAP'!$C$3:$C$501,"=81",'Plan prihoda za unos u SAP'!$K$3:$K$501,"=634")</f>
        <v>0</v>
      </c>
      <c r="W96" s="189">
        <f>SUMIFS('Plan prihoda za unos u SAP'!$I$3:$I$501,'Plan prihoda za unos u SAP'!$C$3:$C$501,"=83",'Plan prihoda za unos u SAP'!$K$3:$K$501,"=634")</f>
        <v>0</v>
      </c>
    </row>
    <row r="97" spans="1:23" s="90" customFormat="1">
      <c r="A97" s="90">
        <v>2023</v>
      </c>
      <c r="B97" s="215" t="s">
        <v>762</v>
      </c>
      <c r="C97" s="96" t="s">
        <v>763</v>
      </c>
      <c r="D97" s="70">
        <f t="shared" si="23"/>
        <v>0</v>
      </c>
      <c r="E97" s="189">
        <f>SUMIFS('Plan prihoda za unos u SAP'!$I$3:$I$501,'Plan prihoda za unos u SAP'!$C$3:$C$501,"=11",'Plan prihoda za unos u SAP'!$K$3:$K$501,"=636")</f>
        <v>0</v>
      </c>
      <c r="F97" s="189">
        <f>SUMIFS('Plan prihoda za unos u SAP'!$I$3:$I$501,'Plan prihoda za unos u SAP'!$C$3:$C$501,"=12",'Plan prihoda za unos u SAP'!$K$3:$K$501,"=636")</f>
        <v>0</v>
      </c>
      <c r="G97" s="189">
        <f>SUMIFS('Plan prihoda za unos u SAP'!$I$3:$I$501,'Plan prihoda za unos u SAP'!$C$3:$C$501,"=31",'Plan prihoda za unos u SAP'!$K$3:$K$501,"=636")</f>
        <v>0</v>
      </c>
      <c r="H97" s="189">
        <f>SUMIFS('Plan prihoda za unos u SAP'!$I$3:$I$501,'Plan prihoda za unos u SAP'!$C$3:$C$501,"=41",'Plan prihoda za unos u SAP'!$K$3:$K$501,"=636")</f>
        <v>0</v>
      </c>
      <c r="I97" s="189">
        <f>SUMIFS('Plan prihoda za unos u SAP'!$I$3:$I$501,'Plan prihoda za unos u SAP'!$C$3:$C$501,"=43",'Plan prihoda za unos u SAP'!$K$3:$K$501,"=636")</f>
        <v>0</v>
      </c>
      <c r="J97" s="189">
        <f>SUMIFS('Plan prihoda za unos u SAP'!$I$3:$I$501,'Plan prihoda za unos u SAP'!$C$3:$C$501,"=51",'Plan prihoda za unos u SAP'!$K$3:$K$501,"=636")</f>
        <v>0</v>
      </c>
      <c r="K97" s="189">
        <f>SUMIFS('Plan prihoda za unos u SAP'!$I$3:$I$501,'Plan prihoda za unos u SAP'!$C$3:$C$501,"=52",'Plan prihoda za unos u SAP'!$K$3:$K$501,"=636")</f>
        <v>0</v>
      </c>
      <c r="L97" s="189">
        <f>SUMIFS('Plan prihoda za unos u SAP'!$I$3:$I$501,'Plan prihoda za unos u SAP'!$C$3:$C$501,"=552",'Plan prihoda za unos u SAP'!$K$3:$K$501,"=636")</f>
        <v>0</v>
      </c>
      <c r="M97" s="189">
        <f>SUMIFS('Plan prihoda za unos u SAP'!$I$3:$I$501,'Plan prihoda za unos u SAP'!$C$3:$C$501,"=559",'Plan prihoda za unos u SAP'!$K$3:$K$501,"=636")</f>
        <v>0</v>
      </c>
      <c r="N97" s="189">
        <f>SUMIFS('Plan prihoda za unos u SAP'!$I$3:$I$501,'Plan prihoda za unos u SAP'!$C$3:$C$501,"=561",'Plan prihoda za unos u SAP'!$K$3:$K$501,"=636")</f>
        <v>0</v>
      </c>
      <c r="O97" s="189">
        <f>SUMIFS('Plan prihoda za unos u SAP'!$I$3:$I$501,'Plan prihoda za unos u SAP'!$C$3:$C$501,"=563",'Plan prihoda za unos u SAP'!$K$3:$K$501,"=636")</f>
        <v>0</v>
      </c>
      <c r="P97" s="189">
        <f>SUMIFS('Plan prihoda za unos u SAP'!$I$3:$I$501,'Plan prihoda za unos u SAP'!$C$3:$C$501,"=573",'Plan prihoda za unos u SAP'!$K$3:$K$501,"=636")</f>
        <v>0</v>
      </c>
      <c r="Q97" s="189">
        <f>SUMIFS('Plan prihoda za unos u SAP'!$I$3:$I$501,'Plan prihoda za unos u SAP'!$C$3:$C$501,"=575",'Plan prihoda za unos u SAP'!$K$3:$K$501,"=636")</f>
        <v>0</v>
      </c>
      <c r="R97" s="189">
        <f>SUMIFS('Plan prihoda za unos u SAP'!$I$3:$I$501,'Plan prihoda za unos u SAP'!$C$3:$C$501,"=576",'Plan prihoda za unos u SAP'!$K$3:$K$501,"=636")</f>
        <v>0</v>
      </c>
      <c r="S97" s="189">
        <f>SUMIFS('Plan prihoda za unos u SAP'!$I$3:$I$501,'Plan prihoda za unos u SAP'!$C$3:$C$501,"=61",'Plan prihoda za unos u SAP'!$K$3:$K$501,"=636")</f>
        <v>0</v>
      </c>
      <c r="T97" s="189">
        <f>SUMIFS('Plan prihoda za unos u SAP'!$I$3:$I$501,'Plan prihoda za unos u SAP'!$C$3:$C$501,"=63",'Plan prihoda za unos u SAP'!$K$3:$K$501,"=636")</f>
        <v>0</v>
      </c>
      <c r="U97" s="189">
        <f>SUMIFS('Plan prihoda za unos u SAP'!$I$3:$I$501,'Plan prihoda za unos u SAP'!$C$3:$C$501,"=71",'Plan prihoda za unos u SAP'!$K$3:$K$501,"=636")</f>
        <v>0</v>
      </c>
      <c r="V97" s="189">
        <f>SUMIFS('Plan prihoda za unos u SAP'!$I$3:$I$501,'Plan prihoda za unos u SAP'!$C$3:$C$501,"=81",'Plan prihoda za unos u SAP'!$K$3:$K$501,"=636")</f>
        <v>0</v>
      </c>
      <c r="W97" s="189">
        <f>SUMIFS('Plan prihoda za unos u SAP'!$I$3:$I$501,'Plan prihoda za unos u SAP'!$C$3:$C$501,"=83",'Plan prihoda za unos u SAP'!$K$3:$K$501,"=636")</f>
        <v>0</v>
      </c>
    </row>
    <row r="98" spans="1:23" s="90" customFormat="1">
      <c r="A98" s="90">
        <v>2023</v>
      </c>
      <c r="B98" s="95" t="s">
        <v>287</v>
      </c>
      <c r="C98" s="96" t="s">
        <v>288</v>
      </c>
      <c r="D98" s="70">
        <f t="shared" si="23"/>
        <v>0</v>
      </c>
      <c r="E98" s="189">
        <f>SUMIFS('Plan prihoda za unos u SAP'!$I$3:$I$501,'Plan prihoda za unos u SAP'!$C$3:$C$501,"=11",'Plan prihoda za unos u SAP'!$K$3:$K$501,"=638")</f>
        <v>0</v>
      </c>
      <c r="F98" s="189">
        <f>SUMIFS('Plan prihoda za unos u SAP'!$I$3:$I$501,'Plan prihoda za unos u SAP'!$C$3:$C$501,"=12",'Plan prihoda za unos u SAP'!$K$3:$K$501,"=638")</f>
        <v>0</v>
      </c>
      <c r="G98" s="189">
        <f>SUMIFS('Plan prihoda za unos u SAP'!$I$3:$I$501,'Plan prihoda za unos u SAP'!$C$3:$C$501,"=31",'Plan prihoda za unos u SAP'!$K$3:$K$501,"=638")</f>
        <v>0</v>
      </c>
      <c r="H98" s="189">
        <f>SUMIFS('Plan prihoda za unos u SAP'!$I$3:$I$501,'Plan prihoda za unos u SAP'!$C$3:$C$501,"=41",'Plan prihoda za unos u SAP'!$K$3:$K$501,"=638")</f>
        <v>0</v>
      </c>
      <c r="I98" s="189">
        <f>SUMIFS('Plan prihoda za unos u SAP'!$I$3:$I$501,'Plan prihoda za unos u SAP'!$C$3:$C$501,"=43",'Plan prihoda za unos u SAP'!$K$3:$K$501,"=638")</f>
        <v>0</v>
      </c>
      <c r="J98" s="189">
        <f>SUMIFS('Plan prihoda za unos u SAP'!$I$3:$I$501,'Plan prihoda za unos u SAP'!$C$3:$C$501,"=51",'Plan prihoda za unos u SAP'!$K$3:$K$501,"=638")</f>
        <v>0</v>
      </c>
      <c r="K98" s="189">
        <f>SUMIFS('Plan prihoda za unos u SAP'!$I$3:$I$501,'Plan prihoda za unos u SAP'!$C$3:$C$501,"=52",'Plan prihoda za unos u SAP'!$K$3:$K$501,"=638")</f>
        <v>0</v>
      </c>
      <c r="L98" s="189">
        <f>SUMIFS('Plan prihoda za unos u SAP'!$I$3:$I$501,'Plan prihoda za unos u SAP'!$C$3:$C$501,"=552",'Plan prihoda za unos u SAP'!$K$3:$K$501,"=638")</f>
        <v>0</v>
      </c>
      <c r="M98" s="189">
        <f>SUMIFS('Plan prihoda za unos u SAP'!$I$3:$I$501,'Plan prihoda za unos u SAP'!$C$3:$C$501,"=559",'Plan prihoda za unos u SAP'!$K$3:$K$501,"=638")</f>
        <v>0</v>
      </c>
      <c r="N98" s="189">
        <f>SUMIFS('Plan prihoda za unos u SAP'!$I$3:$I$501,'Plan prihoda za unos u SAP'!$C$3:$C$501,"=561",'Plan prihoda za unos u SAP'!$K$3:$K$501,"=638")</f>
        <v>0</v>
      </c>
      <c r="O98" s="189">
        <f>SUMIFS('Plan prihoda za unos u SAP'!$I$3:$I$501,'Plan prihoda za unos u SAP'!$C$3:$C$501,"=563",'Plan prihoda za unos u SAP'!$K$3:$K$501,"=638")</f>
        <v>0</v>
      </c>
      <c r="P98" s="189">
        <f>SUMIFS('Plan prihoda za unos u SAP'!$I$3:$I$501,'Plan prihoda za unos u SAP'!$C$3:$C$501,"=573",'Plan prihoda za unos u SAP'!$K$3:$K$501,"=638")</f>
        <v>0</v>
      </c>
      <c r="Q98" s="189">
        <f>SUMIFS('Plan prihoda za unos u SAP'!$I$3:$I$501,'Plan prihoda za unos u SAP'!$C$3:$C$501,"=575",'Plan prihoda za unos u SAP'!$K$3:$K$501,"=638")</f>
        <v>0</v>
      </c>
      <c r="R98" s="189">
        <f>SUMIFS('Plan prihoda za unos u SAP'!$I$3:$I$501,'Plan prihoda za unos u SAP'!$C$3:$C$501,"=576",'Plan prihoda za unos u SAP'!$K$3:$K$501,"=638")</f>
        <v>0</v>
      </c>
      <c r="S98" s="189">
        <f>SUMIFS('Plan prihoda za unos u SAP'!$I$3:$I$501,'Plan prihoda za unos u SAP'!$C$3:$C$501,"=61",'Plan prihoda za unos u SAP'!$K$3:$K$501,"=638")</f>
        <v>0</v>
      </c>
      <c r="T98" s="189">
        <f>SUMIFS('Plan prihoda za unos u SAP'!$I$3:$I$501,'Plan prihoda za unos u SAP'!$C$3:$C$501,"=63",'Plan prihoda za unos u SAP'!$K$3:$K$501,"=638")</f>
        <v>0</v>
      </c>
      <c r="U98" s="189">
        <f>SUMIFS('Plan prihoda za unos u SAP'!$I$3:$I$501,'Plan prihoda za unos u SAP'!$C$3:$C$501,"=71",'Plan prihoda za unos u SAP'!$K$3:$K$501,"=638")</f>
        <v>0</v>
      </c>
      <c r="V98" s="189">
        <f>SUMIFS('Plan prihoda za unos u SAP'!$I$3:$I$501,'Plan prihoda za unos u SAP'!$C$3:$C$501,"=81",'Plan prihoda za unos u SAP'!$K$3:$K$501,"=638")</f>
        <v>0</v>
      </c>
      <c r="W98" s="189">
        <f>SUMIFS('Plan prihoda za unos u SAP'!$I$3:$I$501,'Plan prihoda za unos u SAP'!$C$3:$C$501,"=83",'Plan prihoda za unos u SAP'!$K$3:$K$501,"=638")</f>
        <v>0</v>
      </c>
    </row>
    <row r="99" spans="1:23" s="90" customFormat="1">
      <c r="A99" s="90">
        <v>2023</v>
      </c>
      <c r="B99" s="95" t="s">
        <v>289</v>
      </c>
      <c r="C99" s="96" t="s">
        <v>41</v>
      </c>
      <c r="D99" s="70">
        <f t="shared" si="23"/>
        <v>0</v>
      </c>
      <c r="E99" s="189">
        <f>SUMIFS('Plan prihoda za unos u SAP'!$I$3:$I$501,'Plan prihoda za unos u SAP'!$C$3:$C$501,"=11",'Plan prihoda za unos u SAP'!$K$3:$K$501,"=639")</f>
        <v>0</v>
      </c>
      <c r="F99" s="189">
        <f>SUMIFS('Plan prihoda za unos u SAP'!$I$3:$I$501,'Plan prihoda za unos u SAP'!$C$3:$C$501,"=12",'Plan prihoda za unos u SAP'!$K$3:$K$501,"=639")</f>
        <v>0</v>
      </c>
      <c r="G99" s="189">
        <f>SUMIFS('Plan prihoda za unos u SAP'!$I$3:$I$501,'Plan prihoda za unos u SAP'!$C$3:$C$501,"=31",'Plan prihoda za unos u SAP'!$K$3:$K$501,"=639")</f>
        <v>0</v>
      </c>
      <c r="H99" s="189">
        <f>SUMIFS('Plan prihoda za unos u SAP'!$I$3:$I$501,'Plan prihoda za unos u SAP'!$C$3:$C$501,"=41",'Plan prihoda za unos u SAP'!$K$3:$K$501,"=639")</f>
        <v>0</v>
      </c>
      <c r="I99" s="189">
        <f>SUMIFS('Plan prihoda za unos u SAP'!$I$3:$I$501,'Plan prihoda za unos u SAP'!$C$3:$C$501,"=43",'Plan prihoda za unos u SAP'!$K$3:$K$501,"=639")</f>
        <v>0</v>
      </c>
      <c r="J99" s="189">
        <f>SUMIFS('Plan prihoda za unos u SAP'!$I$3:$I$501,'Plan prihoda za unos u SAP'!$C$3:$C$501,"=51",'Plan prihoda za unos u SAP'!$K$3:$K$501,"=639")</f>
        <v>0</v>
      </c>
      <c r="K99" s="189">
        <f>SUMIFS('Plan prihoda za unos u SAP'!$I$3:$I$501,'Plan prihoda za unos u SAP'!$C$3:$C$501,"=52",'Plan prihoda za unos u SAP'!$K$3:$K$501,"=639")</f>
        <v>0</v>
      </c>
      <c r="L99" s="189">
        <f>SUMIFS('Plan prihoda za unos u SAP'!$I$3:$I$501,'Plan prihoda za unos u SAP'!$C$3:$C$501,"=552",'Plan prihoda za unos u SAP'!$K$3:$K$501,"=639")</f>
        <v>0</v>
      </c>
      <c r="M99" s="189">
        <f>SUMIFS('Plan prihoda za unos u SAP'!$I$3:$I$501,'Plan prihoda za unos u SAP'!$C$3:$C$501,"=559",'Plan prihoda za unos u SAP'!$K$3:$K$501,"=639")</f>
        <v>0</v>
      </c>
      <c r="N99" s="189">
        <f>SUMIFS('Plan prihoda za unos u SAP'!$I$3:$I$501,'Plan prihoda za unos u SAP'!$C$3:$C$501,"=561",'Plan prihoda za unos u SAP'!$K$3:$K$501,"=639")</f>
        <v>0</v>
      </c>
      <c r="O99" s="189">
        <f>SUMIFS('Plan prihoda za unos u SAP'!$I$3:$I$501,'Plan prihoda za unos u SAP'!$C$3:$C$501,"=563",'Plan prihoda za unos u SAP'!$K$3:$K$501,"=639")</f>
        <v>0</v>
      </c>
      <c r="P99" s="189">
        <f>SUMIFS('Plan prihoda za unos u SAP'!$I$3:$I$501,'Plan prihoda za unos u SAP'!$C$3:$C$501,"=573",'Plan prihoda za unos u SAP'!$K$3:$K$501,"=639")</f>
        <v>0</v>
      </c>
      <c r="Q99" s="189">
        <f>SUMIFS('Plan prihoda za unos u SAP'!$I$3:$I$501,'Plan prihoda za unos u SAP'!$C$3:$C$501,"=575",'Plan prihoda za unos u SAP'!$K$3:$K$501,"=639")</f>
        <v>0</v>
      </c>
      <c r="R99" s="189">
        <f>SUMIFS('Plan prihoda za unos u SAP'!$I$3:$I$501,'Plan prihoda za unos u SAP'!$C$3:$C$501,"=576",'Plan prihoda za unos u SAP'!$K$3:$K$501,"=639")</f>
        <v>0</v>
      </c>
      <c r="S99" s="189">
        <f>SUMIFS('Plan prihoda za unos u SAP'!$I$3:$I$501,'Plan prihoda za unos u SAP'!$C$3:$C$501,"=61",'Plan prihoda za unos u SAP'!$K$3:$K$501,"=639")</f>
        <v>0</v>
      </c>
      <c r="T99" s="189">
        <f>SUMIFS('Plan prihoda za unos u SAP'!$I$3:$I$501,'Plan prihoda za unos u SAP'!$C$3:$C$501,"=63",'Plan prihoda za unos u SAP'!$K$3:$K$501,"=639")</f>
        <v>0</v>
      </c>
      <c r="U99" s="189">
        <f>SUMIFS('Plan prihoda za unos u SAP'!$I$3:$I$501,'Plan prihoda za unos u SAP'!$C$3:$C$501,"=71",'Plan prihoda za unos u SAP'!$K$3:$K$501,"=639")</f>
        <v>0</v>
      </c>
      <c r="V99" s="189">
        <f>SUMIFS('Plan prihoda za unos u SAP'!$I$3:$I$501,'Plan prihoda za unos u SAP'!$C$3:$C$501,"=81",'Plan prihoda za unos u SAP'!$K$3:$K$501,"=639")</f>
        <v>0</v>
      </c>
      <c r="W99" s="189">
        <f>SUMIFS('Plan prihoda za unos u SAP'!$I$3:$I$501,'Plan prihoda za unos u SAP'!$C$3:$C$501,"=83",'Plan prihoda za unos u SAP'!$K$3:$K$501,"=639")</f>
        <v>0</v>
      </c>
    </row>
    <row r="100" spans="1:23" s="90" customFormat="1">
      <c r="A100" s="90">
        <v>2023</v>
      </c>
      <c r="B100" s="95" t="s">
        <v>290</v>
      </c>
      <c r="C100" s="96" t="s">
        <v>291</v>
      </c>
      <c r="D100" s="70">
        <f t="shared" si="23"/>
        <v>15000</v>
      </c>
      <c r="E100" s="189">
        <f>SUMIFS('Plan prihoda za unos u SAP'!$I$3:$I$501,'Plan prihoda za unos u SAP'!$C$3:$C$501,"=11",'Plan prihoda za unos u SAP'!$K$3:$K$501,"=641")</f>
        <v>0</v>
      </c>
      <c r="F100" s="189">
        <f>SUMIFS('Plan prihoda za unos u SAP'!$I$3:$I$501,'Plan prihoda za unos u SAP'!$C$3:$C$501,"=12",'Plan prihoda za unos u SAP'!$K$3:$K$501,"=641")</f>
        <v>0</v>
      </c>
      <c r="G100" s="189">
        <f>SUMIFS('Plan prihoda za unos u SAP'!$I$3:$I$501,'Plan prihoda za unos u SAP'!$C$3:$C$501,"=31",'Plan prihoda za unos u SAP'!$K$3:$K$501,"=641")</f>
        <v>15000</v>
      </c>
      <c r="H100" s="189">
        <f>SUMIFS('Plan prihoda za unos u SAP'!$I$3:$I$501,'Plan prihoda za unos u SAP'!$C$3:$C$501,"=41",'Plan prihoda za unos u SAP'!$K$3:$K$501,"=641")</f>
        <v>0</v>
      </c>
      <c r="I100" s="189">
        <f>SUMIFS('Plan prihoda za unos u SAP'!$I$3:$I$501,'Plan prihoda za unos u SAP'!$C$3:$C$501,"=43",'Plan prihoda za unos u SAP'!$K$3:$K$501,"=641")</f>
        <v>0</v>
      </c>
      <c r="J100" s="189">
        <f>SUMIFS('Plan prihoda za unos u SAP'!$I$3:$I$501,'Plan prihoda za unos u SAP'!$C$3:$C$501,"=51",'Plan prihoda za unos u SAP'!$K$3:$K$501,"=641")</f>
        <v>0</v>
      </c>
      <c r="K100" s="189">
        <f>SUMIFS('Plan prihoda za unos u SAP'!$I$3:$I$501,'Plan prihoda za unos u SAP'!$C$3:$C$501,"=52",'Plan prihoda za unos u SAP'!$K$3:$K$501,"=641")</f>
        <v>0</v>
      </c>
      <c r="L100" s="189">
        <f>SUMIFS('Plan prihoda za unos u SAP'!$I$3:$I$501,'Plan prihoda za unos u SAP'!$C$3:$C$501,"=552",'Plan prihoda za unos u SAP'!$K$3:$K$501,"=641")</f>
        <v>0</v>
      </c>
      <c r="M100" s="189">
        <f>SUMIFS('Plan prihoda za unos u SAP'!$I$3:$I$501,'Plan prihoda za unos u SAP'!$C$3:$C$501,"=559",'Plan prihoda za unos u SAP'!$K$3:$K$501,"=641")</f>
        <v>0</v>
      </c>
      <c r="N100" s="189">
        <f>SUMIFS('Plan prihoda za unos u SAP'!$I$3:$I$501,'Plan prihoda za unos u SAP'!$C$3:$C$501,"=561",'Plan prihoda za unos u SAP'!$K$3:$K$501,"=641")</f>
        <v>0</v>
      </c>
      <c r="O100" s="189">
        <f>SUMIFS('Plan prihoda za unos u SAP'!$I$3:$I$501,'Plan prihoda za unos u SAP'!$C$3:$C$501,"=563",'Plan prihoda za unos u SAP'!$K$3:$K$501,"=641")</f>
        <v>0</v>
      </c>
      <c r="P100" s="189">
        <f>SUMIFS('Plan prihoda za unos u SAP'!$I$3:$I$501,'Plan prihoda za unos u SAP'!$C$3:$C$501,"=573",'Plan prihoda za unos u SAP'!$K$3:$K$501,"=641")</f>
        <v>0</v>
      </c>
      <c r="Q100" s="189">
        <f>SUMIFS('Plan prihoda za unos u SAP'!$I$3:$I$501,'Plan prihoda za unos u SAP'!$C$3:$C$501,"=575",'Plan prihoda za unos u SAP'!$K$3:$K$501,"=641")</f>
        <v>0</v>
      </c>
      <c r="R100" s="189">
        <f>SUMIFS('Plan prihoda za unos u SAP'!$I$3:$I$501,'Plan prihoda za unos u SAP'!$C$3:$C$501,"=576",'Plan prihoda za unos u SAP'!$K$3:$K$501,"=641")</f>
        <v>0</v>
      </c>
      <c r="S100" s="189">
        <f>SUMIFS('Plan prihoda za unos u SAP'!$I$3:$I$501,'Plan prihoda za unos u SAP'!$C$3:$C$501,"=61",'Plan prihoda za unos u SAP'!$K$3:$K$501,"=641")</f>
        <v>0</v>
      </c>
      <c r="T100" s="189">
        <f>SUMIFS('Plan prihoda za unos u SAP'!$I$3:$I$501,'Plan prihoda za unos u SAP'!$C$3:$C$501,"=63",'Plan prihoda za unos u SAP'!$K$3:$K$501,"=641")</f>
        <v>0</v>
      </c>
      <c r="U100" s="189">
        <f>SUMIFS('Plan prihoda za unos u SAP'!$I$3:$I$501,'Plan prihoda za unos u SAP'!$C$3:$C$501,"=71",'Plan prihoda za unos u SAP'!$K$3:$K$501,"=641")</f>
        <v>0</v>
      </c>
      <c r="V100" s="189">
        <f>SUMIFS('Plan prihoda za unos u SAP'!$I$3:$I$501,'Plan prihoda za unos u SAP'!$C$3:$C$501,"=81",'Plan prihoda za unos u SAP'!$K$3:$K$501,"=641")</f>
        <v>0</v>
      </c>
      <c r="W100" s="189">
        <f>SUMIFS('Plan prihoda za unos u SAP'!$I$3:$I$501,'Plan prihoda za unos u SAP'!$C$3:$C$501,"=83",'Plan prihoda za unos u SAP'!$K$3:$K$501,"=641")</f>
        <v>0</v>
      </c>
    </row>
    <row r="101" spans="1:23" s="90" customFormat="1">
      <c r="A101" s="90">
        <v>2023</v>
      </c>
      <c r="B101" s="95" t="s">
        <v>292</v>
      </c>
      <c r="C101" s="96" t="s">
        <v>293</v>
      </c>
      <c r="D101" s="70">
        <f t="shared" si="23"/>
        <v>0</v>
      </c>
      <c r="E101" s="189">
        <f>SUMIFS('Plan prihoda za unos u SAP'!$I$3:$I$501,'Plan prihoda za unos u SAP'!$C$3:$C$501,"=11",'Plan prihoda za unos u SAP'!$K$3:$K$501,"=642")</f>
        <v>0</v>
      </c>
      <c r="F101" s="189">
        <f>SUMIFS('Plan prihoda za unos u SAP'!$I$3:$I$501,'Plan prihoda za unos u SAP'!$C$3:$C$501,"=12",'Plan prihoda za unos u SAP'!$K$3:$K$501,"=642")</f>
        <v>0</v>
      </c>
      <c r="G101" s="189">
        <f>SUMIFS('Plan prihoda za unos u SAP'!$I$3:$I$501,'Plan prihoda za unos u SAP'!$C$3:$C$501,"=31",'Plan prihoda za unos u SAP'!$K$3:$K$501,"=642")</f>
        <v>0</v>
      </c>
      <c r="H101" s="189">
        <f>SUMIFS('Plan prihoda za unos u SAP'!$I$3:$I$501,'Plan prihoda za unos u SAP'!$C$3:$C$501,"=41",'Plan prihoda za unos u SAP'!$K$3:$K$501,"=642")</f>
        <v>0</v>
      </c>
      <c r="I101" s="189">
        <f>SUMIFS('Plan prihoda za unos u SAP'!$I$3:$I$501,'Plan prihoda za unos u SAP'!$C$3:$C$501,"=43",'Plan prihoda za unos u SAP'!$K$3:$K$501,"=642")</f>
        <v>0</v>
      </c>
      <c r="J101" s="189">
        <f>SUMIFS('Plan prihoda za unos u SAP'!$I$3:$I$501,'Plan prihoda za unos u SAP'!$C$3:$C$501,"=51",'Plan prihoda za unos u SAP'!$K$3:$K$501,"=642")</f>
        <v>0</v>
      </c>
      <c r="K101" s="189">
        <f>SUMIFS('Plan prihoda za unos u SAP'!$I$3:$I$501,'Plan prihoda za unos u SAP'!$C$3:$C$501,"=52",'Plan prihoda za unos u SAP'!$K$3:$K$501,"=642")</f>
        <v>0</v>
      </c>
      <c r="L101" s="189">
        <f>SUMIFS('Plan prihoda za unos u SAP'!$I$3:$I$501,'Plan prihoda za unos u SAP'!$C$3:$C$501,"=552",'Plan prihoda za unos u SAP'!$K$3:$K$501,"=642")</f>
        <v>0</v>
      </c>
      <c r="M101" s="189">
        <f>SUMIFS('Plan prihoda za unos u SAP'!$I$3:$I$501,'Plan prihoda za unos u SAP'!$C$3:$C$501,"=559",'Plan prihoda za unos u SAP'!$K$3:$K$501,"=642")</f>
        <v>0</v>
      </c>
      <c r="N101" s="189">
        <f>SUMIFS('Plan prihoda za unos u SAP'!$I$3:$I$501,'Plan prihoda za unos u SAP'!$C$3:$C$501,"=561",'Plan prihoda za unos u SAP'!$K$3:$K$501,"=642")</f>
        <v>0</v>
      </c>
      <c r="O101" s="189">
        <f>SUMIFS('Plan prihoda za unos u SAP'!$I$3:$I$501,'Plan prihoda za unos u SAP'!$C$3:$C$501,"=563",'Plan prihoda za unos u SAP'!$K$3:$K$501,"=642")</f>
        <v>0</v>
      </c>
      <c r="P101" s="189">
        <f>SUMIFS('Plan prihoda za unos u SAP'!$I$3:$I$501,'Plan prihoda za unos u SAP'!$C$3:$C$501,"=573",'Plan prihoda za unos u SAP'!$K$3:$K$501,"=642")</f>
        <v>0</v>
      </c>
      <c r="Q101" s="189">
        <f>SUMIFS('Plan prihoda za unos u SAP'!$I$3:$I$501,'Plan prihoda za unos u SAP'!$C$3:$C$501,"=575",'Plan prihoda za unos u SAP'!$K$3:$K$501,"=642")</f>
        <v>0</v>
      </c>
      <c r="R101" s="189">
        <f>SUMIFS('Plan prihoda za unos u SAP'!$I$3:$I$501,'Plan prihoda za unos u SAP'!$C$3:$C$501,"=576",'Plan prihoda za unos u SAP'!$K$3:$K$501,"=642")</f>
        <v>0</v>
      </c>
      <c r="S101" s="189">
        <f>SUMIFS('Plan prihoda za unos u SAP'!$I$3:$I$501,'Plan prihoda za unos u SAP'!$C$3:$C$501,"=61",'Plan prihoda za unos u SAP'!$K$3:$K$501,"=642")</f>
        <v>0</v>
      </c>
      <c r="T101" s="189">
        <f>SUMIFS('Plan prihoda za unos u SAP'!$I$3:$I$501,'Plan prihoda za unos u SAP'!$C$3:$C$501,"=63",'Plan prihoda za unos u SAP'!$K$3:$K$501,"=642")</f>
        <v>0</v>
      </c>
      <c r="U101" s="189">
        <f>SUMIFS('Plan prihoda za unos u SAP'!$I$3:$I$501,'Plan prihoda za unos u SAP'!$C$3:$C$501,"=71",'Plan prihoda za unos u SAP'!$K$3:$K$501,"=642")</f>
        <v>0</v>
      </c>
      <c r="V101" s="189">
        <f>SUMIFS('Plan prihoda za unos u SAP'!$I$3:$I$501,'Plan prihoda za unos u SAP'!$C$3:$C$501,"=81",'Plan prihoda za unos u SAP'!$K$3:$K$501,"=642")</f>
        <v>0</v>
      </c>
      <c r="W101" s="189">
        <f>SUMIFS('Plan prihoda za unos u SAP'!$I$3:$I$501,'Plan prihoda za unos u SAP'!$C$3:$C$501,"=83",'Plan prihoda za unos u SAP'!$K$3:$K$501,"=642")</f>
        <v>0</v>
      </c>
    </row>
    <row r="102" spans="1:23" s="90" customFormat="1">
      <c r="A102" s="90">
        <v>2023</v>
      </c>
      <c r="B102" s="215" t="s">
        <v>765</v>
      </c>
      <c r="C102" s="96" t="s">
        <v>764</v>
      </c>
      <c r="D102" s="70">
        <f t="shared" si="23"/>
        <v>0</v>
      </c>
      <c r="E102" s="189">
        <f>SUMIFS('Plan prihoda za unos u SAP'!$I$3:$I$501,'Plan prihoda za unos u SAP'!$C$3:$C$501,"=11",'Plan prihoda za unos u SAP'!$K$3:$K$501,"=651")</f>
        <v>0</v>
      </c>
      <c r="F102" s="189">
        <f>SUMIFS('Plan prihoda za unos u SAP'!$I$3:$I$501,'Plan prihoda za unos u SAP'!$C$3:$C$501,"=12",'Plan prihoda za unos u SAP'!$K$3:$K$501,"=651")</f>
        <v>0</v>
      </c>
      <c r="G102" s="189">
        <f>SUMIFS('Plan prihoda za unos u SAP'!$I$3:$I$501,'Plan prihoda za unos u SAP'!$C$3:$C$501,"=31",'Plan prihoda za unos u SAP'!$K$3:$K$501,"=651")</f>
        <v>0</v>
      </c>
      <c r="H102" s="189">
        <f>SUMIFS('Plan prihoda za unos u SAP'!$I$3:$I$501,'Plan prihoda za unos u SAP'!$C$3:$C$501,"=41",'Plan prihoda za unos u SAP'!$K$3:$K$501,"=651")</f>
        <v>0</v>
      </c>
      <c r="I102" s="189">
        <f>SUMIFS('Plan prihoda za unos u SAP'!$I$3:$I$501,'Plan prihoda za unos u SAP'!$C$3:$C$501,"=43",'Plan prihoda za unos u SAP'!$K$3:$K$501,"=651")</f>
        <v>0</v>
      </c>
      <c r="J102" s="189">
        <f>SUMIFS('Plan prihoda za unos u SAP'!$I$3:$I$501,'Plan prihoda za unos u SAP'!$C$3:$C$501,"=51",'Plan prihoda za unos u SAP'!$K$3:$K$501,"=651")</f>
        <v>0</v>
      </c>
      <c r="K102" s="189">
        <f>SUMIFS('Plan prihoda za unos u SAP'!$I$3:$I$501,'Plan prihoda za unos u SAP'!$C$3:$C$501,"=52",'Plan prihoda za unos u SAP'!$K$3:$K$501,"=651")</f>
        <v>0</v>
      </c>
      <c r="L102" s="189">
        <f>SUMIFS('Plan prihoda za unos u SAP'!$I$3:$I$501,'Plan prihoda za unos u SAP'!$C$3:$C$501,"=552",'Plan prihoda za unos u SAP'!$K$3:$K$501,"=651")</f>
        <v>0</v>
      </c>
      <c r="M102" s="189">
        <f>SUMIFS('Plan prihoda za unos u SAP'!$I$3:$I$501,'Plan prihoda za unos u SAP'!$C$3:$C$501,"=559",'Plan prihoda za unos u SAP'!$K$3:$K$501,"=651")</f>
        <v>0</v>
      </c>
      <c r="N102" s="189">
        <f>SUMIFS('Plan prihoda za unos u SAP'!$I$3:$I$501,'Plan prihoda za unos u SAP'!$C$3:$C$501,"=561",'Plan prihoda za unos u SAP'!$K$3:$K$501,"=651")</f>
        <v>0</v>
      </c>
      <c r="O102" s="189">
        <f>SUMIFS('Plan prihoda za unos u SAP'!$I$3:$I$501,'Plan prihoda za unos u SAP'!$C$3:$C$501,"=563",'Plan prihoda za unos u SAP'!$K$3:$K$501,"=651")</f>
        <v>0</v>
      </c>
      <c r="P102" s="189">
        <f>SUMIFS('Plan prihoda za unos u SAP'!$I$3:$I$501,'Plan prihoda za unos u SAP'!$C$3:$C$501,"=573",'Plan prihoda za unos u SAP'!$K$3:$K$501,"=651")</f>
        <v>0</v>
      </c>
      <c r="Q102" s="189">
        <f>SUMIFS('Plan prihoda za unos u SAP'!$I$3:$I$501,'Plan prihoda za unos u SAP'!$C$3:$C$501,"=575",'Plan prihoda za unos u SAP'!$K$3:$K$501,"=651")</f>
        <v>0</v>
      </c>
      <c r="R102" s="189">
        <f>SUMIFS('Plan prihoda za unos u SAP'!$I$3:$I$501,'Plan prihoda za unos u SAP'!$C$3:$C$501,"=576",'Plan prihoda za unos u SAP'!$K$3:$K$501,"=651")</f>
        <v>0</v>
      </c>
      <c r="S102" s="189">
        <f>SUMIFS('Plan prihoda za unos u SAP'!$I$3:$I$501,'Plan prihoda za unos u SAP'!$C$3:$C$501,"=61",'Plan prihoda za unos u SAP'!$K$3:$K$501,"=651")</f>
        <v>0</v>
      </c>
      <c r="T102" s="189">
        <f>SUMIFS('Plan prihoda za unos u SAP'!$I$3:$I$501,'Plan prihoda za unos u SAP'!$C$3:$C$501,"=63",'Plan prihoda za unos u SAP'!$K$3:$K$501,"=651")</f>
        <v>0</v>
      </c>
      <c r="U102" s="189">
        <f>SUMIFS('Plan prihoda za unos u SAP'!$I$3:$I$501,'Plan prihoda za unos u SAP'!$C$3:$C$501,"=71",'Plan prihoda za unos u SAP'!$K$3:$K$501,"=651")</f>
        <v>0</v>
      </c>
      <c r="V102" s="189">
        <f>SUMIFS('Plan prihoda za unos u SAP'!$I$3:$I$501,'Plan prihoda za unos u SAP'!$C$3:$C$501,"=81",'Plan prihoda za unos u SAP'!$K$3:$K$501,"=651")</f>
        <v>0</v>
      </c>
      <c r="W102" s="189">
        <f>SUMIFS('Plan prihoda za unos u SAP'!$I$3:$I$501,'Plan prihoda za unos u SAP'!$C$3:$C$501,"=83",'Plan prihoda za unos u SAP'!$K$3:$K$501,"=651")</f>
        <v>0</v>
      </c>
    </row>
    <row r="103" spans="1:23" s="90" customFormat="1">
      <c r="A103" s="90">
        <v>2023</v>
      </c>
      <c r="B103" s="95" t="s">
        <v>294</v>
      </c>
      <c r="C103" s="96" t="s">
        <v>295</v>
      </c>
      <c r="D103" s="70">
        <f t="shared" si="23"/>
        <v>6122749</v>
      </c>
      <c r="E103" s="189">
        <f>SUMIFS('Plan prihoda za unos u SAP'!$I$3:$I$501,'Plan prihoda za unos u SAP'!$C$3:$C$501,"=11",'Plan prihoda za unos u SAP'!$K$3:$K$501,"=652")</f>
        <v>0</v>
      </c>
      <c r="F103" s="189">
        <f>SUMIFS('Plan prihoda za unos u SAP'!$I$3:$I$501,'Plan prihoda za unos u SAP'!$C$3:$C$501,"=12",'Plan prihoda za unos u SAP'!$K$3:$K$501,"=652")</f>
        <v>0</v>
      </c>
      <c r="G103" s="189">
        <f>SUMIFS('Plan prihoda za unos u SAP'!$I$3:$I$501,'Plan prihoda za unos u SAP'!$C$3:$C$501,"=31",'Plan prihoda za unos u SAP'!$K$3:$K$501,"=652")</f>
        <v>0</v>
      </c>
      <c r="H103" s="189">
        <f>SUMIFS('Plan prihoda za unos u SAP'!$I$3:$I$501,'Plan prihoda za unos u SAP'!$C$3:$C$501,"=41",'Plan prihoda za unos u SAP'!$K$3:$K$501,"=652")</f>
        <v>0</v>
      </c>
      <c r="I103" s="189">
        <f>SUMIFS('Plan prihoda za unos u SAP'!$I$3:$I$501,'Plan prihoda za unos u SAP'!$C$3:$C$501,"=43",'Plan prihoda za unos u SAP'!$K$3:$K$501,"=652")</f>
        <v>6122749</v>
      </c>
      <c r="J103" s="189">
        <f>SUMIFS('Plan prihoda za unos u SAP'!$I$3:$I$501,'Plan prihoda za unos u SAP'!$C$3:$C$501,"=51",'Plan prihoda za unos u SAP'!$K$3:$K$501,"=652")</f>
        <v>0</v>
      </c>
      <c r="K103" s="189">
        <f>SUMIFS('Plan prihoda za unos u SAP'!$I$3:$I$501,'Plan prihoda za unos u SAP'!$C$3:$C$501,"=52",'Plan prihoda za unos u SAP'!$K$3:$K$501,"=652")</f>
        <v>0</v>
      </c>
      <c r="L103" s="189">
        <f>SUMIFS('Plan prihoda za unos u SAP'!$I$3:$I$501,'Plan prihoda za unos u SAP'!$C$3:$C$501,"=552",'Plan prihoda za unos u SAP'!$K$3:$K$501,"=652")</f>
        <v>0</v>
      </c>
      <c r="M103" s="189">
        <f>SUMIFS('Plan prihoda za unos u SAP'!$I$3:$I$501,'Plan prihoda za unos u SAP'!$C$3:$C$501,"=559",'Plan prihoda za unos u SAP'!$K$3:$K$501,"=652")</f>
        <v>0</v>
      </c>
      <c r="N103" s="189">
        <f>SUMIFS('Plan prihoda za unos u SAP'!$I$3:$I$501,'Plan prihoda za unos u SAP'!$C$3:$C$501,"=561",'Plan prihoda za unos u SAP'!$K$3:$K$501,"=652")</f>
        <v>0</v>
      </c>
      <c r="O103" s="189">
        <f>SUMIFS('Plan prihoda za unos u SAP'!$I$3:$I$501,'Plan prihoda za unos u SAP'!$C$3:$C$501,"=563",'Plan prihoda za unos u SAP'!$K$3:$K$501,"=652")</f>
        <v>0</v>
      </c>
      <c r="P103" s="189">
        <f>SUMIFS('Plan prihoda za unos u SAP'!$I$3:$I$501,'Plan prihoda za unos u SAP'!$C$3:$C$501,"=573",'Plan prihoda za unos u SAP'!$K$3:$K$501,"=652")</f>
        <v>0</v>
      </c>
      <c r="Q103" s="189">
        <f>SUMIFS('Plan prihoda za unos u SAP'!$I$3:$I$501,'Plan prihoda za unos u SAP'!$C$3:$C$501,"=575",'Plan prihoda za unos u SAP'!$K$3:$K$501,"=652")</f>
        <v>0</v>
      </c>
      <c r="R103" s="189">
        <f>SUMIFS('Plan prihoda za unos u SAP'!$I$3:$I$501,'Plan prihoda za unos u SAP'!$C$3:$C$501,"=576",'Plan prihoda za unos u SAP'!$K$3:$K$501,"=652")</f>
        <v>0</v>
      </c>
      <c r="S103" s="189">
        <f>SUMIFS('Plan prihoda za unos u SAP'!$I$3:$I$501,'Plan prihoda za unos u SAP'!$C$3:$C$501,"=61",'Plan prihoda za unos u SAP'!$K$3:$K$501,"=652")</f>
        <v>0</v>
      </c>
      <c r="T103" s="189">
        <f>SUMIFS('Plan prihoda za unos u SAP'!$I$3:$I$501,'Plan prihoda za unos u SAP'!$C$3:$C$501,"=63",'Plan prihoda za unos u SAP'!$K$3:$K$501,"=652")</f>
        <v>0</v>
      </c>
      <c r="U103" s="189">
        <f>SUMIFS('Plan prihoda za unos u SAP'!$I$3:$I$501,'Plan prihoda za unos u SAP'!$C$3:$C$501,"=71",'Plan prihoda za unos u SAP'!$K$3:$K$501,"=652")</f>
        <v>0</v>
      </c>
      <c r="V103" s="189">
        <f>SUMIFS('Plan prihoda za unos u SAP'!$I$3:$I$501,'Plan prihoda za unos u SAP'!$C$3:$C$501,"=81",'Plan prihoda za unos u SAP'!$K$3:$K$501,"=652")</f>
        <v>0</v>
      </c>
      <c r="W103" s="189">
        <f>SUMIFS('Plan prihoda za unos u SAP'!$I$3:$I$501,'Plan prihoda za unos u SAP'!$C$3:$C$501,"=83",'Plan prihoda za unos u SAP'!$K$3:$K$501,"=652")</f>
        <v>0</v>
      </c>
    </row>
    <row r="104" spans="1:23" s="90" customFormat="1">
      <c r="A104" s="90">
        <v>2023</v>
      </c>
      <c r="B104" s="95" t="s">
        <v>296</v>
      </c>
      <c r="C104" s="96" t="s">
        <v>297</v>
      </c>
      <c r="D104" s="70">
        <f t="shared" si="23"/>
        <v>9820000</v>
      </c>
      <c r="E104" s="189">
        <f>SUMIFS('Plan prihoda za unos u SAP'!$I$3:$I$501,'Plan prihoda za unos u SAP'!$C$3:$C$501,"=11",'Plan prihoda za unos u SAP'!$K$3:$K$501,"=661")</f>
        <v>0</v>
      </c>
      <c r="F104" s="189">
        <f>SUMIFS('Plan prihoda za unos u SAP'!$I$3:$I$501,'Plan prihoda za unos u SAP'!$C$3:$C$501,"=12",'Plan prihoda za unos u SAP'!$K$3:$K$501,"=661")</f>
        <v>0</v>
      </c>
      <c r="G104" s="189">
        <f>SUMIFS('Plan prihoda za unos u SAP'!$I$3:$I$501,'Plan prihoda za unos u SAP'!$C$3:$C$501,"=31",'Plan prihoda za unos u SAP'!$K$3:$K$501,"=661")</f>
        <v>9820000</v>
      </c>
      <c r="H104" s="189">
        <f>SUMIFS('Plan prihoda za unos u SAP'!$I$3:$I$501,'Plan prihoda za unos u SAP'!$C$3:$C$501,"=41",'Plan prihoda za unos u SAP'!$K$3:$K$501,"=661")</f>
        <v>0</v>
      </c>
      <c r="I104" s="189">
        <f>SUMIFS('Plan prihoda za unos u SAP'!$I$3:$I$501,'Plan prihoda za unos u SAP'!$C$3:$C$501,"=43",'Plan prihoda za unos u SAP'!$K$3:$K$501,"=661")</f>
        <v>0</v>
      </c>
      <c r="J104" s="189">
        <f>SUMIFS('Plan prihoda za unos u SAP'!$I$3:$I$501,'Plan prihoda za unos u SAP'!$C$3:$C$501,"=51",'Plan prihoda za unos u SAP'!$K$3:$K$501,"=661")</f>
        <v>0</v>
      </c>
      <c r="K104" s="189">
        <f>SUMIFS('Plan prihoda za unos u SAP'!$I$3:$I$501,'Plan prihoda za unos u SAP'!$C$3:$C$501,"=52",'Plan prihoda za unos u SAP'!$K$3:$K$501,"=661")</f>
        <v>0</v>
      </c>
      <c r="L104" s="189">
        <f>SUMIFS('Plan prihoda za unos u SAP'!$I$3:$I$501,'Plan prihoda za unos u SAP'!$C$3:$C$501,"=552",'Plan prihoda za unos u SAP'!$K$3:$K$501,"=661")</f>
        <v>0</v>
      </c>
      <c r="M104" s="189">
        <f>SUMIFS('Plan prihoda za unos u SAP'!$I$3:$I$501,'Plan prihoda za unos u SAP'!$C$3:$C$501,"=559",'Plan prihoda za unos u SAP'!$K$3:$K$501,"=661")</f>
        <v>0</v>
      </c>
      <c r="N104" s="189">
        <f>SUMIFS('Plan prihoda za unos u SAP'!$I$3:$I$501,'Plan prihoda za unos u SAP'!$C$3:$C$501,"=561",'Plan prihoda za unos u SAP'!$K$3:$K$501,"=661")</f>
        <v>0</v>
      </c>
      <c r="O104" s="189">
        <f>SUMIFS('Plan prihoda za unos u SAP'!$I$3:$I$501,'Plan prihoda za unos u SAP'!$C$3:$C$501,"=563",'Plan prihoda za unos u SAP'!$K$3:$K$501,"=661")</f>
        <v>0</v>
      </c>
      <c r="P104" s="189">
        <f>SUMIFS('Plan prihoda za unos u SAP'!$I$3:$I$501,'Plan prihoda za unos u SAP'!$C$3:$C$501,"=573",'Plan prihoda za unos u SAP'!$K$3:$K$501,"=661")</f>
        <v>0</v>
      </c>
      <c r="Q104" s="189">
        <f>SUMIFS('Plan prihoda za unos u SAP'!$I$3:$I$501,'Plan prihoda za unos u SAP'!$C$3:$C$501,"=575",'Plan prihoda za unos u SAP'!$K$3:$K$501,"=661")</f>
        <v>0</v>
      </c>
      <c r="R104" s="189">
        <f>SUMIFS('Plan prihoda za unos u SAP'!$I$3:$I$501,'Plan prihoda za unos u SAP'!$C$3:$C$501,"=576",'Plan prihoda za unos u SAP'!$K$3:$K$501,"=661")</f>
        <v>0</v>
      </c>
      <c r="S104" s="189">
        <f>SUMIFS('Plan prihoda za unos u SAP'!$I$3:$I$501,'Plan prihoda za unos u SAP'!$C$3:$C$501,"=61",'Plan prihoda za unos u SAP'!$K$3:$K$501,"=661")</f>
        <v>0</v>
      </c>
      <c r="T104" s="189">
        <f>SUMIFS('Plan prihoda za unos u SAP'!$I$3:$I$501,'Plan prihoda za unos u SAP'!$C$3:$C$501,"=63",'Plan prihoda za unos u SAP'!$K$3:$K$501,"=661")</f>
        <v>0</v>
      </c>
      <c r="U104" s="189">
        <f>SUMIFS('Plan prihoda za unos u SAP'!$I$3:$I$501,'Plan prihoda za unos u SAP'!$C$3:$C$501,"=71",'Plan prihoda za unos u SAP'!$K$3:$K$501,"=661")</f>
        <v>0</v>
      </c>
      <c r="V104" s="189">
        <f>SUMIFS('Plan prihoda za unos u SAP'!$I$3:$I$501,'Plan prihoda za unos u SAP'!$C$3:$C$501,"=81",'Plan prihoda za unos u SAP'!$K$3:$K$501,"=661")</f>
        <v>0</v>
      </c>
      <c r="W104" s="189">
        <f>SUMIFS('Plan prihoda za unos u SAP'!$I$3:$I$501,'Plan prihoda za unos u SAP'!$C$3:$C$501,"=83",'Plan prihoda za unos u SAP'!$K$3:$K$501,"=661")</f>
        <v>0</v>
      </c>
    </row>
    <row r="105" spans="1:23" s="90" customFormat="1">
      <c r="A105" s="90">
        <v>2023</v>
      </c>
      <c r="B105" s="95" t="s">
        <v>298</v>
      </c>
      <c r="C105" s="96" t="s">
        <v>299</v>
      </c>
      <c r="D105" s="70">
        <f t="shared" si="23"/>
        <v>0</v>
      </c>
      <c r="E105" s="189">
        <f>SUMIFS('Plan prihoda za unos u SAP'!$I$3:$I$501,'Plan prihoda za unos u SAP'!$C$3:$C$501,"=11",'Plan prihoda za unos u SAP'!$K$3:$K$501,"=663")</f>
        <v>0</v>
      </c>
      <c r="F105" s="189">
        <f>SUMIFS('Plan prihoda za unos u SAP'!$I$3:$I$501,'Plan prihoda za unos u SAP'!$C$3:$C$501,"=12",'Plan prihoda za unos u SAP'!$K$3:$K$501,"=663")</f>
        <v>0</v>
      </c>
      <c r="G105" s="189">
        <f>SUMIFS('Plan prihoda za unos u SAP'!$I$3:$I$501,'Plan prihoda za unos u SAP'!$C$3:$C$501,"=31",'Plan prihoda za unos u SAP'!$K$3:$K$501,"=663")</f>
        <v>0</v>
      </c>
      <c r="H105" s="189">
        <f>SUMIFS('Plan prihoda za unos u SAP'!$I$3:$I$501,'Plan prihoda za unos u SAP'!$C$3:$C$501,"=41",'Plan prihoda za unos u SAP'!$K$3:$K$501,"=663")</f>
        <v>0</v>
      </c>
      <c r="I105" s="189">
        <f>SUMIFS('Plan prihoda za unos u SAP'!$I$3:$I$501,'Plan prihoda za unos u SAP'!$C$3:$C$501,"=43",'Plan prihoda za unos u SAP'!$K$3:$K$501,"=663")</f>
        <v>0</v>
      </c>
      <c r="J105" s="189">
        <f>SUMIFS('Plan prihoda za unos u SAP'!$I$3:$I$501,'Plan prihoda za unos u SAP'!$C$3:$C$501,"=51",'Plan prihoda za unos u SAP'!$K$3:$K$501,"=663")</f>
        <v>0</v>
      </c>
      <c r="K105" s="189">
        <f>SUMIFS('Plan prihoda za unos u SAP'!$I$3:$I$501,'Plan prihoda za unos u SAP'!$C$3:$C$501,"=52",'Plan prihoda za unos u SAP'!$K$3:$K$501,"=663")</f>
        <v>0</v>
      </c>
      <c r="L105" s="189">
        <f>SUMIFS('Plan prihoda za unos u SAP'!$I$3:$I$501,'Plan prihoda za unos u SAP'!$C$3:$C$501,"=552",'Plan prihoda za unos u SAP'!$K$3:$K$501,"=663")</f>
        <v>0</v>
      </c>
      <c r="M105" s="189">
        <f>SUMIFS('Plan prihoda za unos u SAP'!$I$3:$I$501,'Plan prihoda za unos u SAP'!$C$3:$C$501,"=559",'Plan prihoda za unos u SAP'!$K$3:$K$501,"=663")</f>
        <v>0</v>
      </c>
      <c r="N105" s="189">
        <f>SUMIFS('Plan prihoda za unos u SAP'!$I$3:$I$501,'Plan prihoda za unos u SAP'!$C$3:$C$501,"=561",'Plan prihoda za unos u SAP'!$K$3:$K$501,"=663")</f>
        <v>0</v>
      </c>
      <c r="O105" s="189">
        <f>SUMIFS('Plan prihoda za unos u SAP'!$I$3:$I$501,'Plan prihoda za unos u SAP'!$C$3:$C$501,"=563",'Plan prihoda za unos u SAP'!$K$3:$K$501,"=663")</f>
        <v>0</v>
      </c>
      <c r="P105" s="189">
        <f>SUMIFS('Plan prihoda za unos u SAP'!$I$3:$I$501,'Plan prihoda za unos u SAP'!$C$3:$C$501,"=573",'Plan prihoda za unos u SAP'!$K$3:$K$501,"=663")</f>
        <v>0</v>
      </c>
      <c r="Q105" s="189">
        <f>SUMIFS('Plan prihoda za unos u SAP'!$I$3:$I$501,'Plan prihoda za unos u SAP'!$C$3:$C$501,"=575",'Plan prihoda za unos u SAP'!$K$3:$K$501,"=663")</f>
        <v>0</v>
      </c>
      <c r="R105" s="189">
        <f>SUMIFS('Plan prihoda za unos u SAP'!$I$3:$I$501,'Plan prihoda za unos u SAP'!$C$3:$C$501,"=576",'Plan prihoda za unos u SAP'!$K$3:$K$501,"=663")</f>
        <v>0</v>
      </c>
      <c r="S105" s="189">
        <f>SUMIFS('Plan prihoda za unos u SAP'!$I$3:$I$501,'Plan prihoda za unos u SAP'!$C$3:$C$501,"=61",'Plan prihoda za unos u SAP'!$K$3:$K$501,"=663")</f>
        <v>0</v>
      </c>
      <c r="T105" s="189">
        <f>SUMIFS('Plan prihoda za unos u SAP'!$I$3:$I$501,'Plan prihoda za unos u SAP'!$C$3:$C$501,"=63",'Plan prihoda za unos u SAP'!$K$3:$K$501,"=663")</f>
        <v>0</v>
      </c>
      <c r="U105" s="189">
        <f>SUMIFS('Plan prihoda za unos u SAP'!$I$3:$I$501,'Plan prihoda za unos u SAP'!$C$3:$C$501,"=71",'Plan prihoda za unos u SAP'!$K$3:$K$501,"=663")</f>
        <v>0</v>
      </c>
      <c r="V105" s="189">
        <f>SUMIFS('Plan prihoda za unos u SAP'!$I$3:$I$501,'Plan prihoda za unos u SAP'!$C$3:$C$501,"=81",'Plan prihoda za unos u SAP'!$K$3:$K$501,"=663")</f>
        <v>0</v>
      </c>
      <c r="W105" s="189">
        <f>SUMIFS('Plan prihoda za unos u SAP'!$I$3:$I$501,'Plan prihoda za unos u SAP'!$C$3:$C$501,"=83",'Plan prihoda za unos u SAP'!$K$3:$K$501,"=663")</f>
        <v>0</v>
      </c>
    </row>
    <row r="106" spans="1:23" s="90" customFormat="1">
      <c r="A106" s="90">
        <v>2023</v>
      </c>
      <c r="B106" s="95" t="s">
        <v>300</v>
      </c>
      <c r="C106" s="129" t="s">
        <v>260</v>
      </c>
      <c r="D106" s="70">
        <f t="shared" si="23"/>
        <v>157684699</v>
      </c>
      <c r="E106" s="189">
        <f>SUMIFS('Plan prihoda za unos u SAP'!$I$3:$I$501,'Plan prihoda za unos u SAP'!$C$3:$C$501,"=11",'Plan prihoda za unos u SAP'!$K$3:$K$501,"=671")</f>
        <v>157684699</v>
      </c>
      <c r="F106" s="189">
        <f>SUMIFS('Plan prihoda za unos u SAP'!$I$3:$I$501,'Plan prihoda za unos u SAP'!$C$3:$C$501,"=12",'Plan prihoda za unos u SAP'!$K$3:$K$501,"=671")</f>
        <v>0</v>
      </c>
      <c r="G106" s="189">
        <f>SUMIFS('Plan prihoda za unos u SAP'!$I$3:$I$501,'Plan prihoda za unos u SAP'!$C$3:$C$501,"=31",'Plan prihoda za unos u SAP'!$K$3:$K$501,"=671")</f>
        <v>0</v>
      </c>
      <c r="H106" s="189">
        <f>SUMIFS('Plan prihoda za unos u SAP'!$I$3:$I$501,'Plan prihoda za unos u SAP'!$C$3:$C$501,"=41",'Plan prihoda za unos u SAP'!$K$3:$K$501,"=671")</f>
        <v>0</v>
      </c>
      <c r="I106" s="189">
        <f>SUMIFS('Plan prihoda za unos u SAP'!$I$3:$I$501,'Plan prihoda za unos u SAP'!$C$3:$C$501,"=43",'Plan prihoda za unos u SAP'!$K$3:$K$501,"=671")</f>
        <v>0</v>
      </c>
      <c r="J106" s="189">
        <f>SUMIFS('Plan prihoda za unos u SAP'!$I$3:$I$501,'Plan prihoda za unos u SAP'!$C$3:$C$501,"=51",'Plan prihoda za unos u SAP'!$K$3:$K$501,"=671")</f>
        <v>0</v>
      </c>
      <c r="K106" s="189">
        <f>SUMIFS('Plan prihoda za unos u SAP'!$I$3:$I$501,'Plan prihoda za unos u SAP'!$C$3:$C$501,"=52",'Plan prihoda za unos u SAP'!$K$3:$K$501,"=671")</f>
        <v>0</v>
      </c>
      <c r="L106" s="189">
        <f>SUMIFS('Plan prihoda za unos u SAP'!$I$3:$I$501,'Plan prihoda za unos u SAP'!$C$3:$C$501,"=552",'Plan prihoda za unos u SAP'!$K$3:$K$501,"=671")</f>
        <v>0</v>
      </c>
      <c r="M106" s="189">
        <f>SUMIFS('Plan prihoda za unos u SAP'!$I$3:$I$501,'Plan prihoda za unos u SAP'!$C$3:$C$501,"=559",'Plan prihoda za unos u SAP'!$K$3:$K$501,"=671")</f>
        <v>0</v>
      </c>
      <c r="N106" s="189">
        <f>SUMIFS('Plan prihoda za unos u SAP'!$I$3:$I$501,'Plan prihoda za unos u SAP'!$C$3:$C$501,"=561",'Plan prihoda za unos u SAP'!$K$3:$K$501,"=671")</f>
        <v>0</v>
      </c>
      <c r="O106" s="189">
        <f>SUMIFS('Plan prihoda za unos u SAP'!$I$3:$I$501,'Plan prihoda za unos u SAP'!$C$3:$C$501,"=563",'Plan prihoda za unos u SAP'!$K$3:$K$501,"=671")</f>
        <v>0</v>
      </c>
      <c r="P106" s="189">
        <f>SUMIFS('Plan prihoda za unos u SAP'!$I$3:$I$501,'Plan prihoda za unos u SAP'!$C$3:$C$501,"=573",'Plan prihoda za unos u SAP'!$K$3:$K$501,"=671")</f>
        <v>0</v>
      </c>
      <c r="Q106" s="189">
        <f>SUMIFS('Plan prihoda za unos u SAP'!$I$3:$I$501,'Plan prihoda za unos u SAP'!$C$3:$C$501,"=575",'Plan prihoda za unos u SAP'!$K$3:$K$501,"=671")</f>
        <v>0</v>
      </c>
      <c r="R106" s="189">
        <f>SUMIFS('Plan prihoda za unos u SAP'!$I$3:$I$501,'Plan prihoda za unos u SAP'!$C$3:$C$501,"=576",'Plan prihoda za unos u SAP'!$K$3:$K$501,"=671")</f>
        <v>0</v>
      </c>
      <c r="S106" s="189">
        <f>SUMIFS('Plan prihoda za unos u SAP'!$I$3:$I$501,'Plan prihoda za unos u SAP'!$C$3:$C$501,"=61",'Plan prihoda za unos u SAP'!$K$3:$K$501,"=671")</f>
        <v>0</v>
      </c>
      <c r="T106" s="189">
        <f>SUMIFS('Plan prihoda za unos u SAP'!$I$3:$I$501,'Plan prihoda za unos u SAP'!$C$3:$C$501,"=63",'Plan prihoda za unos u SAP'!$K$3:$K$501,"=671")</f>
        <v>0</v>
      </c>
      <c r="U106" s="189">
        <f>SUMIFS('Plan prihoda za unos u SAP'!$I$3:$I$501,'Plan prihoda za unos u SAP'!$C$3:$C$501,"=71",'Plan prihoda za unos u SAP'!$K$3:$K$501,"=671")</f>
        <v>0</v>
      </c>
      <c r="V106" s="189">
        <f>SUMIFS('Plan prihoda za unos u SAP'!$I$3:$I$501,'Plan prihoda za unos u SAP'!$C$3:$C$501,"=81",'Plan prihoda za unos u SAP'!$K$3:$K$501,"=671")</f>
        <v>0</v>
      </c>
      <c r="W106" s="189">
        <f>SUMIFS('Plan prihoda za unos u SAP'!$I$3:$I$501,'Plan prihoda za unos u SAP'!$C$3:$C$501,"=83",'Plan prihoda za unos u SAP'!$K$3:$K$501,"=671")</f>
        <v>0</v>
      </c>
    </row>
    <row r="107" spans="1:23" s="90" customFormat="1">
      <c r="A107" s="90">
        <v>2023</v>
      </c>
      <c r="B107" s="95" t="s">
        <v>301</v>
      </c>
      <c r="C107" s="96" t="s">
        <v>302</v>
      </c>
      <c r="D107" s="70">
        <f t="shared" si="23"/>
        <v>0</v>
      </c>
      <c r="E107" s="189">
        <f>SUMIFS('Plan prihoda za unos u SAP'!$I$3:$I$501,'Plan prihoda za unos u SAP'!$C$3:$C$501,"=11",'Plan prihoda za unos u SAP'!$K$3:$K$501,"=681")</f>
        <v>0</v>
      </c>
      <c r="F107" s="189">
        <f>SUMIFS('Plan prihoda za unos u SAP'!$I$3:$I$501,'Plan prihoda za unos u SAP'!$C$3:$C$501,"=12",'Plan prihoda za unos u SAP'!$K$3:$K$501,"=681")</f>
        <v>0</v>
      </c>
      <c r="G107" s="189">
        <f>SUMIFS('Plan prihoda za unos u SAP'!$I$3:$I$501,'Plan prihoda za unos u SAP'!$C$3:$C$501,"=31",'Plan prihoda za unos u SAP'!$K$3:$K$501,"=681")</f>
        <v>0</v>
      </c>
      <c r="H107" s="189">
        <f>SUMIFS('Plan prihoda za unos u SAP'!$I$3:$I$501,'Plan prihoda za unos u SAP'!$C$3:$C$501,"=41",'Plan prihoda za unos u SAP'!$K$3:$K$501,"=681")</f>
        <v>0</v>
      </c>
      <c r="I107" s="189">
        <f>SUMIFS('Plan prihoda za unos u SAP'!$I$3:$I$501,'Plan prihoda za unos u SAP'!$C$3:$C$501,"=43",'Plan prihoda za unos u SAP'!$K$3:$K$501,"=681")</f>
        <v>0</v>
      </c>
      <c r="J107" s="189">
        <f>SUMIFS('Plan prihoda za unos u SAP'!$I$3:$I$501,'Plan prihoda za unos u SAP'!$C$3:$C$501,"=51",'Plan prihoda za unos u SAP'!$K$3:$K$501,"=681")</f>
        <v>0</v>
      </c>
      <c r="K107" s="189">
        <f>SUMIFS('Plan prihoda za unos u SAP'!$I$3:$I$501,'Plan prihoda za unos u SAP'!$C$3:$C$501,"=52",'Plan prihoda za unos u SAP'!$K$3:$K$501,"=681")</f>
        <v>0</v>
      </c>
      <c r="L107" s="189">
        <f>SUMIFS('Plan prihoda za unos u SAP'!$I$3:$I$501,'Plan prihoda za unos u SAP'!$C$3:$C$501,"=552",'Plan prihoda za unos u SAP'!$K$3:$K$501,"=681")</f>
        <v>0</v>
      </c>
      <c r="M107" s="189">
        <f>SUMIFS('Plan prihoda za unos u SAP'!$I$3:$I$501,'Plan prihoda za unos u SAP'!$C$3:$C$501,"=559",'Plan prihoda za unos u SAP'!$K$3:$K$501,"=681")</f>
        <v>0</v>
      </c>
      <c r="N107" s="189">
        <f>SUMIFS('Plan prihoda za unos u SAP'!$I$3:$I$501,'Plan prihoda za unos u SAP'!$C$3:$C$501,"=561",'Plan prihoda za unos u SAP'!$K$3:$K$501,"=681")</f>
        <v>0</v>
      </c>
      <c r="O107" s="189">
        <f>SUMIFS('Plan prihoda za unos u SAP'!$I$3:$I$501,'Plan prihoda za unos u SAP'!$C$3:$C$501,"=563",'Plan prihoda za unos u SAP'!$K$3:$K$501,"=681")</f>
        <v>0</v>
      </c>
      <c r="P107" s="189">
        <f>SUMIFS('Plan prihoda za unos u SAP'!$I$3:$I$501,'Plan prihoda za unos u SAP'!$C$3:$C$501,"=573",'Plan prihoda za unos u SAP'!$K$3:$K$501,"=681")</f>
        <v>0</v>
      </c>
      <c r="Q107" s="189">
        <f>SUMIFS('Plan prihoda za unos u SAP'!$I$3:$I$501,'Plan prihoda za unos u SAP'!$C$3:$C$501,"=575",'Plan prihoda za unos u SAP'!$K$3:$K$501,"=681")</f>
        <v>0</v>
      </c>
      <c r="R107" s="189">
        <f>SUMIFS('Plan prihoda za unos u SAP'!$I$3:$I$501,'Plan prihoda za unos u SAP'!$C$3:$C$501,"=576",'Plan prihoda za unos u SAP'!$K$3:$K$501,"=681")</f>
        <v>0</v>
      </c>
      <c r="S107" s="189">
        <f>SUMIFS('Plan prihoda za unos u SAP'!$I$3:$I$501,'Plan prihoda za unos u SAP'!$C$3:$C$501,"=61",'Plan prihoda za unos u SAP'!$K$3:$K$501,"=681")</f>
        <v>0</v>
      </c>
      <c r="T107" s="189">
        <f>SUMIFS('Plan prihoda za unos u SAP'!$I$3:$I$501,'Plan prihoda za unos u SAP'!$C$3:$C$501,"=63",'Plan prihoda za unos u SAP'!$K$3:$K$501,"=681")</f>
        <v>0</v>
      </c>
      <c r="U107" s="189">
        <f>SUMIFS('Plan prihoda za unos u SAP'!$I$3:$I$501,'Plan prihoda za unos u SAP'!$C$3:$C$501,"=71",'Plan prihoda za unos u SAP'!$K$3:$K$501,"=681")</f>
        <v>0</v>
      </c>
      <c r="V107" s="189">
        <f>SUMIFS('Plan prihoda za unos u SAP'!$I$3:$I$501,'Plan prihoda za unos u SAP'!$C$3:$C$501,"=81",'Plan prihoda za unos u SAP'!$K$3:$K$501,"=681")</f>
        <v>0</v>
      </c>
      <c r="W107" s="189">
        <f>SUMIFS('Plan prihoda za unos u SAP'!$I$3:$I$501,'Plan prihoda za unos u SAP'!$C$3:$C$501,"=83",'Plan prihoda za unos u SAP'!$K$3:$K$501,"=681")</f>
        <v>0</v>
      </c>
    </row>
    <row r="108" spans="1:23" s="90" customFormat="1">
      <c r="A108" s="90">
        <v>2023</v>
      </c>
      <c r="B108" s="95" t="s">
        <v>303</v>
      </c>
      <c r="C108" s="96" t="s">
        <v>304</v>
      </c>
      <c r="D108" s="70">
        <f t="shared" si="23"/>
        <v>0</v>
      </c>
      <c r="E108" s="189">
        <f>SUMIFS('Plan prihoda za unos u SAP'!$I$3:$I$501,'Plan prihoda za unos u SAP'!$C$3:$C$501,"=11",'Plan prihoda za unos u SAP'!$K$3:$K$501,"=683")</f>
        <v>0</v>
      </c>
      <c r="F108" s="189">
        <f>SUMIFS('Plan prihoda za unos u SAP'!$I$3:$I$501,'Plan prihoda za unos u SAP'!$C$3:$C$501,"=12",'Plan prihoda za unos u SAP'!$K$3:$K$501,"=683")</f>
        <v>0</v>
      </c>
      <c r="G108" s="189">
        <f>SUMIFS('Plan prihoda za unos u SAP'!$I$3:$I$501,'Plan prihoda za unos u SAP'!$C$3:$C$501,"=31",'Plan prihoda za unos u SAP'!$K$3:$K$501,"=683")</f>
        <v>0</v>
      </c>
      <c r="H108" s="189">
        <f>SUMIFS('Plan prihoda za unos u SAP'!$I$3:$I$501,'Plan prihoda za unos u SAP'!$C$3:$C$501,"=41",'Plan prihoda za unos u SAP'!$K$3:$K$501,"=683")</f>
        <v>0</v>
      </c>
      <c r="I108" s="189">
        <f>SUMIFS('Plan prihoda za unos u SAP'!$I$3:$I$501,'Plan prihoda za unos u SAP'!$C$3:$C$501,"=43",'Plan prihoda za unos u SAP'!$K$3:$K$501,"=683")</f>
        <v>0</v>
      </c>
      <c r="J108" s="189">
        <f>SUMIFS('Plan prihoda za unos u SAP'!$I$3:$I$501,'Plan prihoda za unos u SAP'!$C$3:$C$501,"=51",'Plan prihoda za unos u SAP'!$K$3:$K$501,"=683")</f>
        <v>0</v>
      </c>
      <c r="K108" s="189">
        <f>SUMIFS('Plan prihoda za unos u SAP'!$I$3:$I$501,'Plan prihoda za unos u SAP'!$C$3:$C$501,"=52",'Plan prihoda za unos u SAP'!$K$3:$K$501,"=683")</f>
        <v>0</v>
      </c>
      <c r="L108" s="189">
        <f>SUMIFS('Plan prihoda za unos u SAP'!$I$3:$I$501,'Plan prihoda za unos u SAP'!$C$3:$C$501,"=552",'Plan prihoda za unos u SAP'!$K$3:$K$501,"=683")</f>
        <v>0</v>
      </c>
      <c r="M108" s="189">
        <f>SUMIFS('Plan prihoda za unos u SAP'!$I$3:$I$501,'Plan prihoda za unos u SAP'!$C$3:$C$501,"=559",'Plan prihoda za unos u SAP'!$K$3:$K$501,"=683")</f>
        <v>0</v>
      </c>
      <c r="N108" s="189">
        <f>SUMIFS('Plan prihoda za unos u SAP'!$I$3:$I$501,'Plan prihoda za unos u SAP'!$C$3:$C$501,"=561",'Plan prihoda za unos u SAP'!$K$3:$K$501,"=683")</f>
        <v>0</v>
      </c>
      <c r="O108" s="189">
        <f>SUMIFS('Plan prihoda za unos u SAP'!$I$3:$I$501,'Plan prihoda za unos u SAP'!$C$3:$C$501,"=563",'Plan prihoda za unos u SAP'!$K$3:$K$501,"=683")</f>
        <v>0</v>
      </c>
      <c r="P108" s="189">
        <f>SUMIFS('Plan prihoda za unos u SAP'!$I$3:$I$501,'Plan prihoda za unos u SAP'!$C$3:$C$501,"=573",'Plan prihoda za unos u SAP'!$K$3:$K$501,"=683")</f>
        <v>0</v>
      </c>
      <c r="Q108" s="189">
        <f>SUMIFS('Plan prihoda za unos u SAP'!$I$3:$I$501,'Plan prihoda za unos u SAP'!$C$3:$C$501,"=575",'Plan prihoda za unos u SAP'!$K$3:$K$501,"=683")</f>
        <v>0</v>
      </c>
      <c r="R108" s="189">
        <f>SUMIFS('Plan prihoda za unos u SAP'!$I$3:$I$501,'Plan prihoda za unos u SAP'!$C$3:$C$501,"=576",'Plan prihoda za unos u SAP'!$K$3:$K$501,"=683")</f>
        <v>0</v>
      </c>
      <c r="S108" s="189">
        <f>SUMIFS('Plan prihoda za unos u SAP'!$I$3:$I$501,'Plan prihoda za unos u SAP'!$C$3:$C$501,"=61",'Plan prihoda za unos u SAP'!$K$3:$K$501,"=683")</f>
        <v>0</v>
      </c>
      <c r="T108" s="189">
        <f>SUMIFS('Plan prihoda za unos u SAP'!$I$3:$I$501,'Plan prihoda za unos u SAP'!$C$3:$C$501,"=63",'Plan prihoda za unos u SAP'!$K$3:$K$501,"=683")</f>
        <v>0</v>
      </c>
      <c r="U108" s="189">
        <f>SUMIFS('Plan prihoda za unos u SAP'!$I$3:$I$501,'Plan prihoda za unos u SAP'!$C$3:$C$501,"=71",'Plan prihoda za unos u SAP'!$K$3:$K$501,"=683")</f>
        <v>0</v>
      </c>
      <c r="V108" s="189">
        <f>SUMIFS('Plan prihoda za unos u SAP'!$I$3:$I$501,'Plan prihoda za unos u SAP'!$C$3:$C$501,"=81",'Plan prihoda za unos u SAP'!$K$3:$K$501,"=683")</f>
        <v>0</v>
      </c>
      <c r="W108" s="189">
        <f>SUMIFS('Plan prihoda za unos u SAP'!$I$3:$I$501,'Plan prihoda za unos u SAP'!$C$3:$C$501,"=83",'Plan prihoda za unos u SAP'!$K$3:$K$501,"=683")</f>
        <v>0</v>
      </c>
    </row>
    <row r="109" spans="1:23" s="90" customFormat="1">
      <c r="A109" s="90">
        <v>2023</v>
      </c>
      <c r="B109" s="98" t="s">
        <v>305</v>
      </c>
      <c r="C109" s="99" t="s">
        <v>306</v>
      </c>
      <c r="D109" s="70">
        <f t="shared" si="23"/>
        <v>175067629</v>
      </c>
      <c r="E109" s="4">
        <f>SUM(E93:E108)</f>
        <v>157684699</v>
      </c>
      <c r="F109" s="4">
        <f t="shared" ref="F109:W109" si="27">SUM(F93:F108)</f>
        <v>0</v>
      </c>
      <c r="G109" s="4">
        <f t="shared" si="27"/>
        <v>9835000</v>
      </c>
      <c r="H109" s="4">
        <f t="shared" si="27"/>
        <v>0</v>
      </c>
      <c r="I109" s="4">
        <f t="shared" si="27"/>
        <v>6122749</v>
      </c>
      <c r="J109" s="4">
        <f t="shared" si="27"/>
        <v>1325181</v>
      </c>
      <c r="K109" s="4">
        <f t="shared" si="27"/>
        <v>100000</v>
      </c>
      <c r="L109" s="4">
        <f t="shared" si="27"/>
        <v>0</v>
      </c>
      <c r="M109" s="4">
        <f t="shared" si="27"/>
        <v>0</v>
      </c>
      <c r="N109" s="4">
        <f t="shared" si="27"/>
        <v>0</v>
      </c>
      <c r="O109" s="4">
        <f t="shared" si="27"/>
        <v>0</v>
      </c>
      <c r="P109" s="4">
        <f t="shared" si="27"/>
        <v>0</v>
      </c>
      <c r="Q109" s="4">
        <f t="shared" si="27"/>
        <v>0</v>
      </c>
      <c r="R109" s="4">
        <f t="shared" ref="R109" si="28">SUM(R93:R108)</f>
        <v>0</v>
      </c>
      <c r="S109" s="4">
        <f t="shared" si="27"/>
        <v>0</v>
      </c>
      <c r="T109" s="4">
        <f t="shared" si="27"/>
        <v>0</v>
      </c>
      <c r="U109" s="4">
        <f t="shared" si="27"/>
        <v>0</v>
      </c>
      <c r="V109" s="4">
        <f t="shared" si="27"/>
        <v>0</v>
      </c>
      <c r="W109" s="4">
        <f t="shared" si="27"/>
        <v>0</v>
      </c>
    </row>
    <row r="110" spans="1:23" s="90" customFormat="1">
      <c r="A110" s="90">
        <v>2023</v>
      </c>
      <c r="B110" s="95" t="s">
        <v>318</v>
      </c>
      <c r="C110" s="100" t="s">
        <v>319</v>
      </c>
      <c r="D110" s="70">
        <f t="shared" si="23"/>
        <v>0</v>
      </c>
      <c r="E110" s="189">
        <f>SUMIFS('Plan prihoda za unos u SAP'!$I$3:$I$501,'Plan prihoda za unos u SAP'!$C$3:$C$501,"=11",'Plan prihoda za unos u SAP'!$K$3:$K$501,"=711")</f>
        <v>0</v>
      </c>
      <c r="F110" s="189">
        <f>SUMIFS('Plan prihoda za unos u SAP'!$I$3:$I$501,'Plan prihoda za unos u SAP'!$C$3:$C$501,"=12",'Plan prihoda za unos u SAP'!$K$3:$K$501,"=711")</f>
        <v>0</v>
      </c>
      <c r="G110" s="189">
        <f>SUMIFS('Plan prihoda za unos u SAP'!$I$3:$I$501,'Plan prihoda za unos u SAP'!$C$3:$C$501,"=31",'Plan prihoda za unos u SAP'!$K$3:$K$501,"=711")</f>
        <v>0</v>
      </c>
      <c r="H110" s="189">
        <f>SUMIFS('Plan prihoda za unos u SAP'!$I$3:$I$501,'Plan prihoda za unos u SAP'!$C$3:$C$501,"=41",'Plan prihoda za unos u SAP'!$K$3:$K$501,"=711")</f>
        <v>0</v>
      </c>
      <c r="I110" s="189">
        <f>SUMIFS('Plan prihoda za unos u SAP'!$I$3:$I$501,'Plan prihoda za unos u SAP'!$C$3:$C$501,"=43",'Plan prihoda za unos u SAP'!$K$3:$K$501,"=711")</f>
        <v>0</v>
      </c>
      <c r="J110" s="189">
        <f>SUMIFS('Plan prihoda za unos u SAP'!$I$3:$I$501,'Plan prihoda za unos u SAP'!$C$3:$C$501,"=51",'Plan prihoda za unos u SAP'!$K$3:$K$501,"=711")</f>
        <v>0</v>
      </c>
      <c r="K110" s="189">
        <f>SUMIFS('Plan prihoda za unos u SAP'!$I$3:$I$501,'Plan prihoda za unos u SAP'!$C$3:$C$501,"=52",'Plan prihoda za unos u SAP'!$K$3:$K$501,"=711")</f>
        <v>0</v>
      </c>
      <c r="L110" s="189">
        <f>SUMIFS('Plan prihoda za unos u SAP'!$I$3:$I$501,'Plan prihoda za unos u SAP'!$C$3:$C$501,"=552",'Plan prihoda za unos u SAP'!$K$3:$K$501,"=711")</f>
        <v>0</v>
      </c>
      <c r="M110" s="189">
        <f>SUMIFS('Plan prihoda za unos u SAP'!$I$3:$I$501,'Plan prihoda za unos u SAP'!$C$3:$C$501,"=559",'Plan prihoda za unos u SAP'!$K$3:$K$501,"=711")</f>
        <v>0</v>
      </c>
      <c r="N110" s="189">
        <f>SUMIFS('Plan prihoda za unos u SAP'!$I$3:$I$501,'Plan prihoda za unos u SAP'!$C$3:$C$501,"=561",'Plan prihoda za unos u SAP'!$K$3:$K$501,"=711")</f>
        <v>0</v>
      </c>
      <c r="O110" s="189">
        <f>SUMIFS('Plan prihoda za unos u SAP'!$I$3:$I$501,'Plan prihoda za unos u SAP'!$C$3:$C$501,"=563",'Plan prihoda za unos u SAP'!$K$3:$K$501,"=711")</f>
        <v>0</v>
      </c>
      <c r="P110" s="189">
        <f>SUMIFS('Plan prihoda za unos u SAP'!$I$3:$I$501,'Plan prihoda za unos u SAP'!$C$3:$C$501,"=573",'Plan prihoda za unos u SAP'!$K$3:$K$501,"=711")</f>
        <v>0</v>
      </c>
      <c r="Q110" s="189">
        <f>SUMIFS('Plan prihoda za unos u SAP'!$I$3:$I$501,'Plan prihoda za unos u SAP'!$C$3:$C$501,"=575",'Plan prihoda za unos u SAP'!$K$3:$K$501,"=711")</f>
        <v>0</v>
      </c>
      <c r="R110" s="189">
        <f>SUMIFS('Plan prihoda za unos u SAP'!$I$3:$I$501,'Plan prihoda za unos u SAP'!$C$3:$C$501,"=576",'Plan prihoda za unos u SAP'!$K$3:$K$501,"=711")</f>
        <v>0</v>
      </c>
      <c r="S110" s="189">
        <f>SUMIFS('Plan prihoda za unos u SAP'!$I$3:$I$501,'Plan prihoda za unos u SAP'!$C$3:$C$501,"=61",'Plan prihoda za unos u SAP'!$K$3:$K$501,"=711")</f>
        <v>0</v>
      </c>
      <c r="T110" s="189">
        <f>SUMIFS('Plan prihoda za unos u SAP'!$I$3:$I$501,'Plan prihoda za unos u SAP'!$C$3:$C$501,"=63",'Plan prihoda za unos u SAP'!$K$3:$K$501,"=711")</f>
        <v>0</v>
      </c>
      <c r="U110" s="189">
        <f>SUMIFS('Plan prihoda za unos u SAP'!$I$3:$I$501,'Plan prihoda za unos u SAP'!$C$3:$C$501,"=71",'Plan prihoda za unos u SAP'!$K$3:$K$501,"=711")</f>
        <v>0</v>
      </c>
      <c r="V110" s="189">
        <f>SUMIFS('Plan prihoda za unos u SAP'!$I$3:$I$501,'Plan prihoda za unos u SAP'!$C$3:$C$501,"=81",'Plan prihoda za unos u SAP'!$K$3:$K$501,"=711")</f>
        <v>0</v>
      </c>
      <c r="W110" s="189">
        <f>SUMIFS('Plan prihoda za unos u SAP'!$I$3:$I$501,'Plan prihoda za unos u SAP'!$C$3:$C$501,"=83",'Plan prihoda za unos u SAP'!$K$3:$K$501,"=711")</f>
        <v>0</v>
      </c>
    </row>
    <row r="111" spans="1:23" s="90" customFormat="1">
      <c r="A111" s="90">
        <v>2023</v>
      </c>
      <c r="B111" s="95" t="s">
        <v>320</v>
      </c>
      <c r="C111" s="100" t="s">
        <v>321</v>
      </c>
      <c r="D111" s="70">
        <f t="shared" si="23"/>
        <v>0</v>
      </c>
      <c r="E111" s="189">
        <f>SUMIFS('Plan prihoda za unos u SAP'!$I$3:$I$501,'Plan prihoda za unos u SAP'!$C$3:$C$501,"=11",'Plan prihoda za unos u SAP'!$K$3:$K$501,"=712")</f>
        <v>0</v>
      </c>
      <c r="F111" s="189">
        <f>SUMIFS('Plan prihoda za unos u SAP'!$I$3:$I$501,'Plan prihoda za unos u SAP'!$C$3:$C$501,"=12",'Plan prihoda za unos u SAP'!$K$3:$K$501,"=712")</f>
        <v>0</v>
      </c>
      <c r="G111" s="189">
        <f>SUMIFS('Plan prihoda za unos u SAP'!$I$3:$I$501,'Plan prihoda za unos u SAP'!$C$3:$C$501,"=31",'Plan prihoda za unos u SAP'!$K$3:$K$501,"=712")</f>
        <v>0</v>
      </c>
      <c r="H111" s="189">
        <f>SUMIFS('Plan prihoda za unos u SAP'!$I$3:$I$501,'Plan prihoda za unos u SAP'!$C$3:$C$501,"=41",'Plan prihoda za unos u SAP'!$K$3:$K$501,"=712")</f>
        <v>0</v>
      </c>
      <c r="I111" s="189">
        <f>SUMIFS('Plan prihoda za unos u SAP'!$I$3:$I$501,'Plan prihoda za unos u SAP'!$C$3:$C$501,"=43",'Plan prihoda za unos u SAP'!$K$3:$K$501,"=712")</f>
        <v>0</v>
      </c>
      <c r="J111" s="189">
        <f>SUMIFS('Plan prihoda za unos u SAP'!$I$3:$I$501,'Plan prihoda za unos u SAP'!$C$3:$C$501,"=51",'Plan prihoda za unos u SAP'!$K$3:$K$501,"=712")</f>
        <v>0</v>
      </c>
      <c r="K111" s="189">
        <f>SUMIFS('Plan prihoda za unos u SAP'!$I$3:$I$501,'Plan prihoda za unos u SAP'!$C$3:$C$501,"=52",'Plan prihoda za unos u SAP'!$K$3:$K$501,"=712")</f>
        <v>0</v>
      </c>
      <c r="L111" s="189">
        <f>SUMIFS('Plan prihoda za unos u SAP'!$I$3:$I$501,'Plan prihoda za unos u SAP'!$C$3:$C$501,"=552",'Plan prihoda za unos u SAP'!$K$3:$K$501,"=712")</f>
        <v>0</v>
      </c>
      <c r="M111" s="189">
        <f>SUMIFS('Plan prihoda za unos u SAP'!$I$3:$I$501,'Plan prihoda za unos u SAP'!$C$3:$C$501,"=559",'Plan prihoda za unos u SAP'!$K$3:$K$501,"=712")</f>
        <v>0</v>
      </c>
      <c r="N111" s="189">
        <f>SUMIFS('Plan prihoda za unos u SAP'!$I$3:$I$501,'Plan prihoda za unos u SAP'!$C$3:$C$501,"=561",'Plan prihoda za unos u SAP'!$K$3:$K$501,"=712")</f>
        <v>0</v>
      </c>
      <c r="O111" s="189">
        <f>SUMIFS('Plan prihoda za unos u SAP'!$I$3:$I$501,'Plan prihoda za unos u SAP'!$C$3:$C$501,"=563",'Plan prihoda za unos u SAP'!$K$3:$K$501,"=712")</f>
        <v>0</v>
      </c>
      <c r="P111" s="189">
        <f>SUMIFS('Plan prihoda za unos u SAP'!$I$3:$I$501,'Plan prihoda za unos u SAP'!$C$3:$C$501,"=573",'Plan prihoda za unos u SAP'!$K$3:$K$501,"=712")</f>
        <v>0</v>
      </c>
      <c r="Q111" s="189">
        <f>SUMIFS('Plan prihoda za unos u SAP'!$I$3:$I$501,'Plan prihoda za unos u SAP'!$C$3:$C$501,"=575",'Plan prihoda za unos u SAP'!$K$3:$K$501,"=712")</f>
        <v>0</v>
      </c>
      <c r="R111" s="189">
        <f>SUMIFS('Plan prihoda za unos u SAP'!$I$3:$I$501,'Plan prihoda za unos u SAP'!$C$3:$C$501,"=576",'Plan prihoda za unos u SAP'!$K$3:$K$501,"=712")</f>
        <v>0</v>
      </c>
      <c r="S111" s="189">
        <f>SUMIFS('Plan prihoda za unos u SAP'!$I$3:$I$501,'Plan prihoda za unos u SAP'!$C$3:$C$501,"=61",'Plan prihoda za unos u SAP'!$K$3:$K$501,"=712")</f>
        <v>0</v>
      </c>
      <c r="T111" s="189">
        <f>SUMIFS('Plan prihoda za unos u SAP'!$I$3:$I$501,'Plan prihoda za unos u SAP'!$C$3:$C$501,"=63",'Plan prihoda za unos u SAP'!$K$3:$K$501,"=712")</f>
        <v>0</v>
      </c>
      <c r="U111" s="189">
        <f>SUMIFS('Plan prihoda za unos u SAP'!$I$3:$I$501,'Plan prihoda za unos u SAP'!$C$3:$C$501,"=71",'Plan prihoda za unos u SAP'!$K$3:$K$501,"=712")</f>
        <v>0</v>
      </c>
      <c r="V111" s="189">
        <f>SUMIFS('Plan prihoda za unos u SAP'!$I$3:$I$501,'Plan prihoda za unos u SAP'!$C$3:$C$501,"=81",'Plan prihoda za unos u SAP'!$K$3:$K$501,"=712")</f>
        <v>0</v>
      </c>
      <c r="W111" s="189">
        <f>SUMIFS('Plan prihoda za unos u SAP'!$I$3:$I$501,'Plan prihoda za unos u SAP'!$C$3:$C$501,"=83",'Plan prihoda za unos u SAP'!$K$3:$K$501,"=712")</f>
        <v>0</v>
      </c>
    </row>
    <row r="112" spans="1:23" s="90" customFormat="1">
      <c r="A112" s="90">
        <v>2023</v>
      </c>
      <c r="B112" s="95" t="s">
        <v>307</v>
      </c>
      <c r="C112" s="100" t="s">
        <v>308</v>
      </c>
      <c r="D112" s="70">
        <f t="shared" si="23"/>
        <v>0</v>
      </c>
      <c r="E112" s="189">
        <f>SUMIFS('Plan prihoda za unos u SAP'!$I$3:$I$501,'Plan prihoda za unos u SAP'!$C$3:$C$501,"=11",'Plan prihoda za unos u SAP'!$K$3:$K$501,"=721")</f>
        <v>0</v>
      </c>
      <c r="F112" s="189">
        <f>SUMIFS('Plan prihoda za unos u SAP'!$I$3:$I$501,'Plan prihoda za unos u SAP'!$C$3:$C$501,"=12",'Plan prihoda za unos u SAP'!$K$3:$K$501,"=721")</f>
        <v>0</v>
      </c>
      <c r="G112" s="189">
        <f>SUMIFS('Plan prihoda za unos u SAP'!$I$3:$I$501,'Plan prihoda za unos u SAP'!$C$3:$C$501,"=31",'Plan prihoda za unos u SAP'!$K$3:$K$501,"=721")</f>
        <v>0</v>
      </c>
      <c r="H112" s="189">
        <f>SUMIFS('Plan prihoda za unos u SAP'!$I$3:$I$501,'Plan prihoda za unos u SAP'!$C$3:$C$501,"=41",'Plan prihoda za unos u SAP'!$K$3:$K$501,"=721")</f>
        <v>0</v>
      </c>
      <c r="I112" s="189">
        <f>SUMIFS('Plan prihoda za unos u SAP'!$I$3:$I$501,'Plan prihoda za unos u SAP'!$C$3:$C$501,"=43",'Plan prihoda za unos u SAP'!$K$3:$K$501,"=721")</f>
        <v>0</v>
      </c>
      <c r="J112" s="189">
        <f>SUMIFS('Plan prihoda za unos u SAP'!$I$3:$I$501,'Plan prihoda za unos u SAP'!$C$3:$C$501,"=51",'Plan prihoda za unos u SAP'!$K$3:$K$501,"=721")</f>
        <v>0</v>
      </c>
      <c r="K112" s="189">
        <f>SUMIFS('Plan prihoda za unos u SAP'!$I$3:$I$501,'Plan prihoda za unos u SAP'!$C$3:$C$501,"=52",'Plan prihoda za unos u SAP'!$K$3:$K$501,"=721")</f>
        <v>0</v>
      </c>
      <c r="L112" s="189">
        <f>SUMIFS('Plan prihoda za unos u SAP'!$I$3:$I$501,'Plan prihoda za unos u SAP'!$C$3:$C$501,"=552",'Plan prihoda za unos u SAP'!$K$3:$K$501,"=721")</f>
        <v>0</v>
      </c>
      <c r="M112" s="189">
        <f>SUMIFS('Plan prihoda za unos u SAP'!$I$3:$I$501,'Plan prihoda za unos u SAP'!$C$3:$C$501,"=559",'Plan prihoda za unos u SAP'!$K$3:$K$501,"=721")</f>
        <v>0</v>
      </c>
      <c r="N112" s="189">
        <f>SUMIFS('Plan prihoda za unos u SAP'!$I$3:$I$501,'Plan prihoda za unos u SAP'!$C$3:$C$501,"=561",'Plan prihoda za unos u SAP'!$K$3:$K$501,"=721")</f>
        <v>0</v>
      </c>
      <c r="O112" s="189">
        <f>SUMIFS('Plan prihoda za unos u SAP'!$I$3:$I$501,'Plan prihoda za unos u SAP'!$C$3:$C$501,"=563",'Plan prihoda za unos u SAP'!$K$3:$K$501,"=721")</f>
        <v>0</v>
      </c>
      <c r="P112" s="189">
        <f>SUMIFS('Plan prihoda za unos u SAP'!$I$3:$I$501,'Plan prihoda za unos u SAP'!$C$3:$C$501,"=573",'Plan prihoda za unos u SAP'!$K$3:$K$501,"=721")</f>
        <v>0</v>
      </c>
      <c r="Q112" s="189">
        <f>SUMIFS('Plan prihoda za unos u SAP'!$I$3:$I$501,'Plan prihoda za unos u SAP'!$C$3:$C$501,"=575",'Plan prihoda za unos u SAP'!$K$3:$K$501,"=721")</f>
        <v>0</v>
      </c>
      <c r="R112" s="189">
        <f>SUMIFS('Plan prihoda za unos u SAP'!$I$3:$I$501,'Plan prihoda za unos u SAP'!$C$3:$C$501,"=576",'Plan prihoda za unos u SAP'!$K$3:$K$501,"=721")</f>
        <v>0</v>
      </c>
      <c r="S112" s="189">
        <f>SUMIFS('Plan prihoda za unos u SAP'!$I$3:$I$501,'Plan prihoda za unos u SAP'!$C$3:$C$501,"=61",'Plan prihoda za unos u SAP'!$K$3:$K$501,"=721")</f>
        <v>0</v>
      </c>
      <c r="T112" s="189">
        <f>SUMIFS('Plan prihoda za unos u SAP'!$I$3:$I$501,'Plan prihoda za unos u SAP'!$C$3:$C$501,"=63",'Plan prihoda za unos u SAP'!$K$3:$K$501,"=721")</f>
        <v>0</v>
      </c>
      <c r="U112" s="189">
        <f>SUMIFS('Plan prihoda za unos u SAP'!$I$3:$I$501,'Plan prihoda za unos u SAP'!$C$3:$C$501,"=71",'Plan prihoda za unos u SAP'!$K$3:$K$501,"=721")</f>
        <v>0</v>
      </c>
      <c r="V112" s="189">
        <f>SUMIFS('Plan prihoda za unos u SAP'!$I$3:$I$501,'Plan prihoda za unos u SAP'!$C$3:$C$501,"=81",'Plan prihoda za unos u SAP'!$K$3:$K$501,"=721")</f>
        <v>0</v>
      </c>
      <c r="W112" s="189">
        <f>SUMIFS('Plan prihoda za unos u SAP'!$I$3:$I$501,'Plan prihoda za unos u SAP'!$C$3:$C$501,"=83",'Plan prihoda za unos u SAP'!$K$3:$K$501,"=721")</f>
        <v>0</v>
      </c>
    </row>
    <row r="113" spans="1:23" s="90" customFormat="1">
      <c r="A113" s="90">
        <v>2023</v>
      </c>
      <c r="B113" s="95" t="s">
        <v>309</v>
      </c>
      <c r="C113" s="100" t="s">
        <v>310</v>
      </c>
      <c r="D113" s="70">
        <f t="shared" si="23"/>
        <v>0</v>
      </c>
      <c r="E113" s="189">
        <f>SUMIFS('Plan prihoda za unos u SAP'!$I$3:$I$501,'Plan prihoda za unos u SAP'!$C$3:$C$501,"=11",'Plan prihoda za unos u SAP'!$K$3:$K$501,"=722")</f>
        <v>0</v>
      </c>
      <c r="F113" s="189">
        <f>SUMIFS('Plan prihoda za unos u SAP'!$I$3:$I$501,'Plan prihoda za unos u SAP'!$C$3:$C$501,"=12",'Plan prihoda za unos u SAP'!$K$3:$K$501,"=722")</f>
        <v>0</v>
      </c>
      <c r="G113" s="189">
        <f>SUMIFS('Plan prihoda za unos u SAP'!$I$3:$I$501,'Plan prihoda za unos u SAP'!$C$3:$C$501,"=31",'Plan prihoda za unos u SAP'!$K$3:$K$501,"=722")</f>
        <v>0</v>
      </c>
      <c r="H113" s="189">
        <f>SUMIFS('Plan prihoda za unos u SAP'!$I$3:$I$501,'Plan prihoda za unos u SAP'!$C$3:$C$501,"=41",'Plan prihoda za unos u SAP'!$K$3:$K$501,"=722")</f>
        <v>0</v>
      </c>
      <c r="I113" s="189">
        <f>SUMIFS('Plan prihoda za unos u SAP'!$I$3:$I$501,'Plan prihoda za unos u SAP'!$C$3:$C$501,"=43",'Plan prihoda za unos u SAP'!$K$3:$K$501,"=722")</f>
        <v>0</v>
      </c>
      <c r="J113" s="189">
        <f>SUMIFS('Plan prihoda za unos u SAP'!$I$3:$I$501,'Plan prihoda za unos u SAP'!$C$3:$C$501,"=51",'Plan prihoda za unos u SAP'!$K$3:$K$501,"=722")</f>
        <v>0</v>
      </c>
      <c r="K113" s="189">
        <f>SUMIFS('Plan prihoda za unos u SAP'!$I$3:$I$501,'Plan prihoda za unos u SAP'!$C$3:$C$501,"=52",'Plan prihoda za unos u SAP'!$K$3:$K$501,"=722")</f>
        <v>0</v>
      </c>
      <c r="L113" s="189">
        <f>SUMIFS('Plan prihoda za unos u SAP'!$I$3:$I$501,'Plan prihoda za unos u SAP'!$C$3:$C$501,"=552",'Plan prihoda za unos u SAP'!$K$3:$K$501,"=722")</f>
        <v>0</v>
      </c>
      <c r="M113" s="189">
        <f>SUMIFS('Plan prihoda za unos u SAP'!$I$3:$I$501,'Plan prihoda za unos u SAP'!$C$3:$C$501,"=559",'Plan prihoda za unos u SAP'!$K$3:$K$501,"=722")</f>
        <v>0</v>
      </c>
      <c r="N113" s="189">
        <f>SUMIFS('Plan prihoda za unos u SAP'!$I$3:$I$501,'Plan prihoda za unos u SAP'!$C$3:$C$501,"=561",'Plan prihoda za unos u SAP'!$K$3:$K$501,"=722")</f>
        <v>0</v>
      </c>
      <c r="O113" s="189">
        <f>SUMIFS('Plan prihoda za unos u SAP'!$I$3:$I$501,'Plan prihoda za unos u SAP'!$C$3:$C$501,"=563",'Plan prihoda za unos u SAP'!$K$3:$K$501,"=722")</f>
        <v>0</v>
      </c>
      <c r="P113" s="189">
        <f>SUMIFS('Plan prihoda za unos u SAP'!$I$3:$I$501,'Plan prihoda za unos u SAP'!$C$3:$C$501,"=573",'Plan prihoda za unos u SAP'!$K$3:$K$501,"=722")</f>
        <v>0</v>
      </c>
      <c r="Q113" s="189">
        <f>SUMIFS('Plan prihoda za unos u SAP'!$I$3:$I$501,'Plan prihoda za unos u SAP'!$C$3:$C$501,"=575",'Plan prihoda za unos u SAP'!$K$3:$K$501,"=722")</f>
        <v>0</v>
      </c>
      <c r="R113" s="189">
        <f>SUMIFS('Plan prihoda za unos u SAP'!$I$3:$I$501,'Plan prihoda za unos u SAP'!$C$3:$C$501,"=576",'Plan prihoda za unos u SAP'!$K$3:$K$501,"=722")</f>
        <v>0</v>
      </c>
      <c r="S113" s="189">
        <f>SUMIFS('Plan prihoda za unos u SAP'!$I$3:$I$501,'Plan prihoda za unos u SAP'!$C$3:$C$501,"=61",'Plan prihoda za unos u SAP'!$K$3:$K$501,"=722")</f>
        <v>0</v>
      </c>
      <c r="T113" s="189">
        <f>SUMIFS('Plan prihoda za unos u SAP'!$I$3:$I$501,'Plan prihoda za unos u SAP'!$C$3:$C$501,"=63",'Plan prihoda za unos u SAP'!$K$3:$K$501,"=722")</f>
        <v>0</v>
      </c>
      <c r="U113" s="189">
        <f>SUMIFS('Plan prihoda za unos u SAP'!$I$3:$I$501,'Plan prihoda za unos u SAP'!$C$3:$C$501,"=71",'Plan prihoda za unos u SAP'!$K$3:$K$501,"=722")</f>
        <v>0</v>
      </c>
      <c r="V113" s="189">
        <f>SUMIFS('Plan prihoda za unos u SAP'!$I$3:$I$501,'Plan prihoda za unos u SAP'!$C$3:$C$501,"=81",'Plan prihoda za unos u SAP'!$K$3:$K$501,"=722")</f>
        <v>0</v>
      </c>
      <c r="W113" s="189">
        <f>SUMIFS('Plan prihoda za unos u SAP'!$I$3:$I$501,'Plan prihoda za unos u SAP'!$C$3:$C$501,"=83",'Plan prihoda za unos u SAP'!$K$3:$K$501,"=722")</f>
        <v>0</v>
      </c>
    </row>
    <row r="114" spans="1:23" s="90" customFormat="1">
      <c r="A114" s="90">
        <v>2023</v>
      </c>
      <c r="B114" s="95" t="s">
        <v>311</v>
      </c>
      <c r="C114" s="100" t="s">
        <v>312</v>
      </c>
      <c r="D114" s="70">
        <f t="shared" si="23"/>
        <v>0</v>
      </c>
      <c r="E114" s="189">
        <f>SUMIFS('Plan prihoda za unos u SAP'!$I$3:$I$501,'Plan prihoda za unos u SAP'!$C$3:$C$501,"=11",'Plan prihoda za unos u SAP'!$K$3:$K$501,"=723")</f>
        <v>0</v>
      </c>
      <c r="F114" s="189">
        <f>SUMIFS('Plan prihoda za unos u SAP'!$I$3:$I$501,'Plan prihoda za unos u SAP'!$C$3:$C$501,"=12",'Plan prihoda za unos u SAP'!$K$3:$K$501,"=723")</f>
        <v>0</v>
      </c>
      <c r="G114" s="189">
        <f>SUMIFS('Plan prihoda za unos u SAP'!$I$3:$I$501,'Plan prihoda za unos u SAP'!$C$3:$C$501,"=31",'Plan prihoda za unos u SAP'!$K$3:$K$501,"=723")</f>
        <v>0</v>
      </c>
      <c r="H114" s="189">
        <f>SUMIFS('Plan prihoda za unos u SAP'!$I$3:$I$501,'Plan prihoda za unos u SAP'!$C$3:$C$501,"=41",'Plan prihoda za unos u SAP'!$K$3:$K$501,"=723")</f>
        <v>0</v>
      </c>
      <c r="I114" s="189">
        <f>SUMIFS('Plan prihoda za unos u SAP'!$I$3:$I$501,'Plan prihoda za unos u SAP'!$C$3:$C$501,"=43",'Plan prihoda za unos u SAP'!$K$3:$K$501,"=723")</f>
        <v>0</v>
      </c>
      <c r="J114" s="189">
        <f>SUMIFS('Plan prihoda za unos u SAP'!$I$3:$I$501,'Plan prihoda za unos u SAP'!$C$3:$C$501,"=51",'Plan prihoda za unos u SAP'!$K$3:$K$501,"=723")</f>
        <v>0</v>
      </c>
      <c r="K114" s="189">
        <f>SUMIFS('Plan prihoda za unos u SAP'!$I$3:$I$501,'Plan prihoda za unos u SAP'!$C$3:$C$501,"=52",'Plan prihoda za unos u SAP'!$K$3:$K$501,"=723")</f>
        <v>0</v>
      </c>
      <c r="L114" s="189">
        <f>SUMIFS('Plan prihoda za unos u SAP'!$I$3:$I$501,'Plan prihoda za unos u SAP'!$C$3:$C$501,"=552",'Plan prihoda za unos u SAP'!$K$3:$K$501,"=723")</f>
        <v>0</v>
      </c>
      <c r="M114" s="189">
        <f>SUMIFS('Plan prihoda za unos u SAP'!$I$3:$I$501,'Plan prihoda za unos u SAP'!$C$3:$C$501,"=559",'Plan prihoda za unos u SAP'!$K$3:$K$501,"=723")</f>
        <v>0</v>
      </c>
      <c r="N114" s="189">
        <f>SUMIFS('Plan prihoda za unos u SAP'!$I$3:$I$501,'Plan prihoda za unos u SAP'!$C$3:$C$501,"=561",'Plan prihoda za unos u SAP'!$K$3:$K$501,"=723")</f>
        <v>0</v>
      </c>
      <c r="O114" s="189">
        <f>SUMIFS('Plan prihoda za unos u SAP'!$I$3:$I$501,'Plan prihoda za unos u SAP'!$C$3:$C$501,"=563",'Plan prihoda za unos u SAP'!$K$3:$K$501,"=723")</f>
        <v>0</v>
      </c>
      <c r="P114" s="189">
        <f>SUMIFS('Plan prihoda za unos u SAP'!$I$3:$I$501,'Plan prihoda za unos u SAP'!$C$3:$C$501,"=573",'Plan prihoda za unos u SAP'!$K$3:$K$501,"=723")</f>
        <v>0</v>
      </c>
      <c r="Q114" s="189">
        <f>SUMIFS('Plan prihoda za unos u SAP'!$I$3:$I$501,'Plan prihoda za unos u SAP'!$C$3:$C$501,"=575",'Plan prihoda za unos u SAP'!$K$3:$K$501,"=723")</f>
        <v>0</v>
      </c>
      <c r="R114" s="189">
        <f>SUMIFS('Plan prihoda za unos u SAP'!$I$3:$I$501,'Plan prihoda za unos u SAP'!$C$3:$C$501,"=576",'Plan prihoda za unos u SAP'!$K$3:$K$501,"=723")</f>
        <v>0</v>
      </c>
      <c r="S114" s="189">
        <f>SUMIFS('Plan prihoda za unos u SAP'!$I$3:$I$501,'Plan prihoda za unos u SAP'!$C$3:$C$501,"=61",'Plan prihoda za unos u SAP'!$K$3:$K$501,"=723")</f>
        <v>0</v>
      </c>
      <c r="T114" s="189">
        <f>SUMIFS('Plan prihoda za unos u SAP'!$I$3:$I$501,'Plan prihoda za unos u SAP'!$C$3:$C$501,"=63",'Plan prihoda za unos u SAP'!$K$3:$K$501,"=723")</f>
        <v>0</v>
      </c>
      <c r="U114" s="189">
        <f>SUMIFS('Plan prihoda za unos u SAP'!$I$3:$I$501,'Plan prihoda za unos u SAP'!$C$3:$C$501,"=71",'Plan prihoda za unos u SAP'!$K$3:$K$501,"=723")</f>
        <v>0</v>
      </c>
      <c r="V114" s="189">
        <f>SUMIFS('Plan prihoda za unos u SAP'!$I$3:$I$501,'Plan prihoda za unos u SAP'!$C$3:$C$501,"=81",'Plan prihoda za unos u SAP'!$K$3:$K$501,"=723")</f>
        <v>0</v>
      </c>
      <c r="W114" s="189">
        <f>SUMIFS('Plan prihoda za unos u SAP'!$I$3:$I$501,'Plan prihoda za unos u SAP'!$C$3:$C$501,"=83",'Plan prihoda za unos u SAP'!$K$3:$K$501,"=723")</f>
        <v>0</v>
      </c>
    </row>
    <row r="115" spans="1:23" s="90" customFormat="1">
      <c r="A115" s="90">
        <v>2023</v>
      </c>
      <c r="B115" s="95" t="s">
        <v>322</v>
      </c>
      <c r="C115" s="100" t="s">
        <v>323</v>
      </c>
      <c r="D115" s="70">
        <f t="shared" si="23"/>
        <v>0</v>
      </c>
      <c r="E115" s="189">
        <f>SUMIFS('Plan prihoda za unos u SAP'!$I$3:$I$501,'Plan prihoda za unos u SAP'!$C$3:$C$501,"=11",'Plan prihoda za unos u SAP'!$K$3:$K$501,"=725")</f>
        <v>0</v>
      </c>
      <c r="F115" s="189">
        <f>SUMIFS('Plan prihoda za unos u SAP'!$I$3:$I$501,'Plan prihoda za unos u SAP'!$C$3:$C$501,"=12",'Plan prihoda za unos u SAP'!$K$3:$K$501,"=725")</f>
        <v>0</v>
      </c>
      <c r="G115" s="189">
        <f>SUMIFS('Plan prihoda za unos u SAP'!$I$3:$I$501,'Plan prihoda za unos u SAP'!$C$3:$C$501,"=31",'Plan prihoda za unos u SAP'!$K$3:$K$501,"=725")</f>
        <v>0</v>
      </c>
      <c r="H115" s="189">
        <f>SUMIFS('Plan prihoda za unos u SAP'!$I$3:$I$501,'Plan prihoda za unos u SAP'!$C$3:$C$501,"=41",'Plan prihoda za unos u SAP'!$K$3:$K$501,"=725")</f>
        <v>0</v>
      </c>
      <c r="I115" s="189">
        <f>SUMIFS('Plan prihoda za unos u SAP'!$I$3:$I$501,'Plan prihoda za unos u SAP'!$C$3:$C$501,"=43",'Plan prihoda za unos u SAP'!$K$3:$K$501,"=725")</f>
        <v>0</v>
      </c>
      <c r="J115" s="189">
        <f>SUMIFS('Plan prihoda za unos u SAP'!$I$3:$I$501,'Plan prihoda za unos u SAP'!$C$3:$C$501,"=51",'Plan prihoda za unos u SAP'!$K$3:$K$501,"=725")</f>
        <v>0</v>
      </c>
      <c r="K115" s="189">
        <f>SUMIFS('Plan prihoda za unos u SAP'!$I$3:$I$501,'Plan prihoda za unos u SAP'!$C$3:$C$501,"=52",'Plan prihoda za unos u SAP'!$K$3:$K$501,"=725")</f>
        <v>0</v>
      </c>
      <c r="L115" s="189">
        <f>SUMIFS('Plan prihoda za unos u SAP'!$I$3:$I$501,'Plan prihoda za unos u SAP'!$C$3:$C$501,"=552",'Plan prihoda za unos u SAP'!$K$3:$K$501,"=725")</f>
        <v>0</v>
      </c>
      <c r="M115" s="189">
        <f>SUMIFS('Plan prihoda za unos u SAP'!$I$3:$I$501,'Plan prihoda za unos u SAP'!$C$3:$C$501,"=559",'Plan prihoda za unos u SAP'!$K$3:$K$501,"=725")</f>
        <v>0</v>
      </c>
      <c r="N115" s="189">
        <f>SUMIFS('Plan prihoda za unos u SAP'!$I$3:$I$501,'Plan prihoda za unos u SAP'!$C$3:$C$501,"=561",'Plan prihoda za unos u SAP'!$K$3:$K$501,"=725")</f>
        <v>0</v>
      </c>
      <c r="O115" s="189">
        <f>SUMIFS('Plan prihoda za unos u SAP'!$I$3:$I$501,'Plan prihoda za unos u SAP'!$C$3:$C$501,"=563",'Plan prihoda za unos u SAP'!$K$3:$K$501,"=725")</f>
        <v>0</v>
      </c>
      <c r="P115" s="189">
        <f>SUMIFS('Plan prihoda za unos u SAP'!$I$3:$I$501,'Plan prihoda za unos u SAP'!$C$3:$C$501,"=573",'Plan prihoda za unos u SAP'!$K$3:$K$501,"=725")</f>
        <v>0</v>
      </c>
      <c r="Q115" s="189">
        <f>SUMIFS('Plan prihoda za unos u SAP'!$I$3:$I$501,'Plan prihoda za unos u SAP'!$C$3:$C$501,"=575",'Plan prihoda za unos u SAP'!$K$3:$K$501,"=725")</f>
        <v>0</v>
      </c>
      <c r="R115" s="189">
        <f>SUMIFS('Plan prihoda za unos u SAP'!$I$3:$I$501,'Plan prihoda za unos u SAP'!$C$3:$C$501,"=576",'Plan prihoda za unos u SAP'!$K$3:$K$501,"=725")</f>
        <v>0</v>
      </c>
      <c r="S115" s="189">
        <f>SUMIFS('Plan prihoda za unos u SAP'!$I$3:$I$501,'Plan prihoda za unos u SAP'!$C$3:$C$501,"=61",'Plan prihoda za unos u SAP'!$K$3:$K$501,"=725")</f>
        <v>0</v>
      </c>
      <c r="T115" s="189">
        <f>SUMIFS('Plan prihoda za unos u SAP'!$I$3:$I$501,'Plan prihoda za unos u SAP'!$C$3:$C$501,"=63",'Plan prihoda za unos u SAP'!$K$3:$K$501,"=725")</f>
        <v>0</v>
      </c>
      <c r="U115" s="189">
        <f>SUMIFS('Plan prihoda za unos u SAP'!$I$3:$I$501,'Plan prihoda za unos u SAP'!$C$3:$C$501,"=71",'Plan prihoda za unos u SAP'!$K$3:$K$501,"=725")</f>
        <v>0</v>
      </c>
      <c r="V115" s="189">
        <f>SUMIFS('Plan prihoda za unos u SAP'!$I$3:$I$501,'Plan prihoda za unos u SAP'!$C$3:$C$501,"=81",'Plan prihoda za unos u SAP'!$K$3:$K$501,"=725")</f>
        <v>0</v>
      </c>
      <c r="W115" s="189">
        <f>SUMIFS('Plan prihoda za unos u SAP'!$I$3:$I$501,'Plan prihoda za unos u SAP'!$C$3:$C$501,"=83",'Plan prihoda za unos u SAP'!$K$3:$K$501,"=725")</f>
        <v>0</v>
      </c>
    </row>
    <row r="116" spans="1:23" s="90" customFormat="1">
      <c r="A116" s="90">
        <v>2023</v>
      </c>
      <c r="B116" s="98" t="s">
        <v>313</v>
      </c>
      <c r="C116" s="99" t="s">
        <v>306</v>
      </c>
      <c r="D116" s="70">
        <f t="shared" si="23"/>
        <v>0</v>
      </c>
      <c r="E116" s="4">
        <f t="shared" ref="E116:V116" si="29">SUM(E110:E115)</f>
        <v>0</v>
      </c>
      <c r="F116" s="4">
        <f t="shared" si="29"/>
        <v>0</v>
      </c>
      <c r="G116" s="4">
        <f t="shared" si="29"/>
        <v>0</v>
      </c>
      <c r="H116" s="4">
        <f>SUM(H110:H115)</f>
        <v>0</v>
      </c>
      <c r="I116" s="4">
        <f t="shared" si="29"/>
        <v>0</v>
      </c>
      <c r="J116" s="4">
        <f t="shared" si="29"/>
        <v>0</v>
      </c>
      <c r="K116" s="4">
        <f t="shared" si="29"/>
        <v>0</v>
      </c>
      <c r="L116" s="4">
        <f>SUM(L110:L115)</f>
        <v>0</v>
      </c>
      <c r="M116" s="4">
        <f t="shared" si="29"/>
        <v>0</v>
      </c>
      <c r="N116" s="4">
        <f t="shared" si="29"/>
        <v>0</v>
      </c>
      <c r="O116" s="4">
        <f t="shared" si="29"/>
        <v>0</v>
      </c>
      <c r="P116" s="4">
        <f>SUM(P110:P115)</f>
        <v>0</v>
      </c>
      <c r="Q116" s="4">
        <f>SUM(Q110:Q115)</f>
        <v>0</v>
      </c>
      <c r="R116" s="4">
        <f>SUM(R110:R115)</f>
        <v>0</v>
      </c>
      <c r="S116" s="4">
        <f t="shared" si="29"/>
        <v>0</v>
      </c>
      <c r="T116" s="4">
        <f t="shared" si="29"/>
        <v>0</v>
      </c>
      <c r="U116" s="4">
        <f t="shared" si="29"/>
        <v>0</v>
      </c>
      <c r="V116" s="4">
        <f t="shared" si="29"/>
        <v>0</v>
      </c>
      <c r="W116" s="4">
        <f>SUM(W110:W115)</f>
        <v>0</v>
      </c>
    </row>
    <row r="117" spans="1:23" s="90" customFormat="1" ht="25.5">
      <c r="A117" s="90">
        <v>2023</v>
      </c>
      <c r="B117" s="101">
        <v>812</v>
      </c>
      <c r="C117" s="102" t="s">
        <v>314</v>
      </c>
      <c r="D117" s="70">
        <f t="shared" si="23"/>
        <v>0</v>
      </c>
      <c r="E117" s="189">
        <f>SUMIFS('Plan prihoda za unos u SAP'!$I$3:$I$501,'Plan prihoda za unos u SAP'!$C$3:$C$501,"=11",'Plan prihoda za unos u SAP'!$K$3:$K$501,"=812")</f>
        <v>0</v>
      </c>
      <c r="F117" s="189">
        <f>SUMIFS('Plan prihoda za unos u SAP'!$I$3:$I$501,'Plan prihoda za unos u SAP'!$C$3:$C$501,"=12",'Plan prihoda za unos u SAP'!$K$3:$K$501,"=812")</f>
        <v>0</v>
      </c>
      <c r="G117" s="189">
        <f>SUMIFS('Plan prihoda za unos u SAP'!$I$3:$I$501,'Plan prihoda za unos u SAP'!$C$3:$C$501,"=31",'Plan prihoda za unos u SAP'!$K$3:$K$501,"=812")</f>
        <v>0</v>
      </c>
      <c r="H117" s="189">
        <f>SUMIFS('Plan prihoda za unos u SAP'!$I$3:$I$501,'Plan prihoda za unos u SAP'!$C$3:$C$501,"=41",'Plan prihoda za unos u SAP'!$K$3:$K$501,"=812")</f>
        <v>0</v>
      </c>
      <c r="I117" s="189">
        <f>SUMIFS('Plan prihoda za unos u SAP'!$I$3:$I$501,'Plan prihoda za unos u SAP'!$C$3:$C$501,"=43",'Plan prihoda za unos u SAP'!$K$3:$K$501,"=812")</f>
        <v>0</v>
      </c>
      <c r="J117" s="189">
        <f>SUMIFS('Plan prihoda za unos u SAP'!$I$3:$I$501,'Plan prihoda za unos u SAP'!$C$3:$C$501,"=51",'Plan prihoda za unos u SAP'!$K$3:$K$501,"=812")</f>
        <v>0</v>
      </c>
      <c r="K117" s="189">
        <f>SUMIFS('Plan prihoda za unos u SAP'!$I$3:$I$501,'Plan prihoda za unos u SAP'!$C$3:$C$501,"=52",'Plan prihoda za unos u SAP'!$K$3:$K$501,"=812")</f>
        <v>0</v>
      </c>
      <c r="L117" s="189">
        <f>SUMIFS('Plan prihoda za unos u SAP'!$I$3:$I$501,'Plan prihoda za unos u SAP'!$C$3:$C$501,"=552",'Plan prihoda za unos u SAP'!$K$3:$K$501,"=812")</f>
        <v>0</v>
      </c>
      <c r="M117" s="189">
        <f>SUMIFS('Plan prihoda za unos u SAP'!$I$3:$I$501,'Plan prihoda za unos u SAP'!$C$3:$C$501,"=559",'Plan prihoda za unos u SAP'!$K$3:$K$501,"=812")</f>
        <v>0</v>
      </c>
      <c r="N117" s="189">
        <f>SUMIFS('Plan prihoda za unos u SAP'!$I$3:$I$501,'Plan prihoda za unos u SAP'!$C$3:$C$501,"=561",'Plan prihoda za unos u SAP'!$K$3:$K$501,"=812")</f>
        <v>0</v>
      </c>
      <c r="O117" s="189">
        <f>SUMIFS('Plan prihoda za unos u SAP'!$I$3:$I$501,'Plan prihoda za unos u SAP'!$C$3:$C$501,"=563",'Plan prihoda za unos u SAP'!$K$3:$K$501,"=812")</f>
        <v>0</v>
      </c>
      <c r="P117" s="189">
        <f>SUMIFS('Plan prihoda za unos u SAP'!$I$3:$I$501,'Plan prihoda za unos u SAP'!$C$3:$C$501,"=573",'Plan prihoda za unos u SAP'!$K$3:$K$501,"=812")</f>
        <v>0</v>
      </c>
      <c r="Q117" s="189">
        <f>SUMIFS('Plan prihoda za unos u SAP'!$I$3:$I$501,'Plan prihoda za unos u SAP'!$C$3:$C$501,"=575",'Plan prihoda za unos u SAP'!$K$3:$K$501,"=812")</f>
        <v>0</v>
      </c>
      <c r="R117" s="189">
        <f>SUMIFS('Plan prihoda za unos u SAP'!$I$3:$I$501,'Plan prihoda za unos u SAP'!$C$3:$C$501,"=576",'Plan prihoda za unos u SAP'!$K$3:$K$501,"=812")</f>
        <v>0</v>
      </c>
      <c r="S117" s="189">
        <f>SUMIFS('Plan prihoda za unos u SAP'!$I$3:$I$501,'Plan prihoda za unos u SAP'!$C$3:$C$501,"=61",'Plan prihoda za unos u SAP'!$K$3:$K$501,"=812")</f>
        <v>0</v>
      </c>
      <c r="T117" s="189">
        <f>SUMIFS('Plan prihoda za unos u SAP'!$I$3:$I$501,'Plan prihoda za unos u SAP'!$C$3:$C$501,"=63",'Plan prihoda za unos u SAP'!$K$3:$K$501,"=812")</f>
        <v>0</v>
      </c>
      <c r="U117" s="189">
        <f>SUMIFS('Plan prihoda za unos u SAP'!$I$3:$I$501,'Plan prihoda za unos u SAP'!$C$3:$C$501,"=71",'Plan prihoda za unos u SAP'!$K$3:$K$501,"=812")</f>
        <v>0</v>
      </c>
      <c r="V117" s="189">
        <f>SUMIFS('Plan prihoda za unos u SAP'!$I$3:$I$501,'Plan prihoda za unos u SAP'!$C$3:$C$501,"=81",'Plan prihoda za unos u SAP'!$K$3:$K$501,"=812")</f>
        <v>0</v>
      </c>
      <c r="W117" s="189">
        <f>SUMIFS('Plan prihoda za unos u SAP'!$I$3:$I$501,'Plan prihoda za unos u SAP'!$C$3:$C$501,"=83",'Plan prihoda za unos u SAP'!$K$3:$K$501,"=812")</f>
        <v>0</v>
      </c>
    </row>
    <row r="118" spans="1:23" s="90" customFormat="1">
      <c r="A118" s="90">
        <v>2023</v>
      </c>
      <c r="B118" s="101">
        <v>818</v>
      </c>
      <c r="C118" s="102" t="s">
        <v>1567</v>
      </c>
      <c r="D118" s="70">
        <f t="shared" si="23"/>
        <v>0</v>
      </c>
      <c r="E118" s="189">
        <f>SUMIFS('Plan prihoda za unos u SAP'!$I$3:$I$501,'Plan prihoda za unos u SAP'!$C$3:$C$501,"=11",'Plan prihoda za unos u SAP'!$K$3:$K$501,"=818")</f>
        <v>0</v>
      </c>
      <c r="F118" s="189">
        <f>SUMIFS('Plan prihoda za unos u SAP'!$I$3:$I$501,'Plan prihoda za unos u SAP'!$C$3:$C$501,"=12",'Plan prihoda za unos u SAP'!$K$3:$K$501,"=818")</f>
        <v>0</v>
      </c>
      <c r="G118" s="189">
        <f>SUMIFS('Plan prihoda za unos u SAP'!$I$3:$I$501,'Plan prihoda za unos u SAP'!$C$3:$C$501,"=31",'Plan prihoda za unos u SAP'!$K$3:$K$501,"=818")</f>
        <v>0</v>
      </c>
      <c r="H118" s="189">
        <f>SUMIFS('Plan prihoda za unos u SAP'!$I$3:$I$501,'Plan prihoda za unos u SAP'!$C$3:$C$501,"=41",'Plan prihoda za unos u SAP'!$K$3:$K$501,"=818")</f>
        <v>0</v>
      </c>
      <c r="I118" s="189">
        <f>SUMIFS('Plan prihoda za unos u SAP'!$I$3:$I$501,'Plan prihoda za unos u SAP'!$C$3:$C$501,"=43",'Plan prihoda za unos u SAP'!$K$3:$K$501,"=818")</f>
        <v>0</v>
      </c>
      <c r="J118" s="189">
        <f>SUMIFS('Plan prihoda za unos u SAP'!$I$3:$I$501,'Plan prihoda za unos u SAP'!$C$3:$C$501,"=51",'Plan prihoda za unos u SAP'!$K$3:$K$501,"=818")</f>
        <v>0</v>
      </c>
      <c r="K118" s="189">
        <f>SUMIFS('Plan prihoda za unos u SAP'!$I$3:$I$501,'Plan prihoda za unos u SAP'!$C$3:$C$501,"=52",'Plan prihoda za unos u SAP'!$K$3:$K$501,"=818")</f>
        <v>0</v>
      </c>
      <c r="L118" s="189">
        <f>SUMIFS('Plan prihoda za unos u SAP'!$I$3:$I$501,'Plan prihoda za unos u SAP'!$C$3:$C$501,"=552",'Plan prihoda za unos u SAP'!$K$3:$K$501,"=818")</f>
        <v>0</v>
      </c>
      <c r="M118" s="189">
        <f>SUMIFS('Plan prihoda za unos u SAP'!$I$3:$I$501,'Plan prihoda za unos u SAP'!$C$3:$C$501,"=559",'Plan prihoda za unos u SAP'!$K$3:$K$501,"=818")</f>
        <v>0</v>
      </c>
      <c r="N118" s="189">
        <f>SUMIFS('Plan prihoda za unos u SAP'!$I$3:$I$501,'Plan prihoda za unos u SAP'!$C$3:$C$501,"=561",'Plan prihoda za unos u SAP'!$K$3:$K$501,"=818")</f>
        <v>0</v>
      </c>
      <c r="O118" s="189">
        <f>SUMIFS('Plan prihoda za unos u SAP'!$I$3:$I$501,'Plan prihoda za unos u SAP'!$C$3:$C$501,"=563",'Plan prihoda za unos u SAP'!$K$3:$K$501,"=818")</f>
        <v>0</v>
      </c>
      <c r="P118" s="189">
        <f>SUMIFS('Plan prihoda za unos u SAP'!$I$3:$I$501,'Plan prihoda za unos u SAP'!$C$3:$C$501,"=573",'Plan prihoda za unos u SAP'!$K$3:$K$501,"=818")</f>
        <v>0</v>
      </c>
      <c r="Q118" s="189">
        <f>SUMIFS('Plan prihoda za unos u SAP'!$I$3:$I$501,'Plan prihoda za unos u SAP'!$C$3:$C$501,"=575",'Plan prihoda za unos u SAP'!$K$3:$K$501,"=818")</f>
        <v>0</v>
      </c>
      <c r="R118" s="189">
        <f>SUMIFS('Plan prihoda za unos u SAP'!$I$3:$I$501,'Plan prihoda za unos u SAP'!$C$3:$C$501,"=576",'Plan prihoda za unos u SAP'!$K$3:$K$501,"=818")</f>
        <v>0</v>
      </c>
      <c r="S118" s="189">
        <f>SUMIFS('Plan prihoda za unos u SAP'!$I$3:$I$501,'Plan prihoda za unos u SAP'!$C$3:$C$501,"=61",'Plan prihoda za unos u SAP'!$K$3:$K$501,"=818")</f>
        <v>0</v>
      </c>
      <c r="T118" s="189">
        <f>SUMIFS('Plan prihoda za unos u SAP'!$I$3:$I$501,'Plan prihoda za unos u SAP'!$C$3:$C$501,"=63",'Plan prihoda za unos u SAP'!$K$3:$K$501,"=818")</f>
        <v>0</v>
      </c>
      <c r="U118" s="189">
        <f>SUMIFS('Plan prihoda za unos u SAP'!$I$3:$I$501,'Plan prihoda za unos u SAP'!$C$3:$C$501,"=71",'Plan prihoda za unos u SAP'!$K$3:$K$501,"=818")</f>
        <v>0</v>
      </c>
      <c r="V118" s="189">
        <f>SUMIFS('Plan prihoda za unos u SAP'!$I$3:$I$501,'Plan prihoda za unos u SAP'!$C$3:$C$501,"=81",'Plan prihoda za unos u SAP'!$K$3:$K$501,"=818")</f>
        <v>0</v>
      </c>
      <c r="W118" s="189">
        <f>SUMIFS('Plan prihoda za unos u SAP'!$I$3:$I$501,'Plan prihoda za unos u SAP'!$C$3:$C$501,"=83",'Plan prihoda za unos u SAP'!$K$3:$K$501,"=818")</f>
        <v>0</v>
      </c>
    </row>
    <row r="119" spans="1:23" s="90" customFormat="1">
      <c r="A119" s="90">
        <v>2023</v>
      </c>
      <c r="B119" s="101">
        <v>832</v>
      </c>
      <c r="C119" s="102" t="s">
        <v>1568</v>
      </c>
      <c r="D119" s="70">
        <f t="shared" si="23"/>
        <v>0</v>
      </c>
      <c r="E119" s="189">
        <f>SUMIFS('Plan prihoda za unos u SAP'!$I$3:$I$501,'Plan prihoda za unos u SAP'!$C$3:$C$501,"=11",'Plan prihoda za unos u SAP'!$K$3:$K$501,"=832")</f>
        <v>0</v>
      </c>
      <c r="F119" s="189">
        <f>SUMIFS('Plan prihoda za unos u SAP'!$I$3:$I$501,'Plan prihoda za unos u SAP'!$C$3:$C$501,"=12",'Plan prihoda za unos u SAP'!$K$3:$K$501,"=832")</f>
        <v>0</v>
      </c>
      <c r="G119" s="189">
        <f>SUMIFS('Plan prihoda za unos u SAP'!$I$3:$I$501,'Plan prihoda za unos u SAP'!$C$3:$C$501,"=31",'Plan prihoda za unos u SAP'!$K$3:$K$501,"=832")</f>
        <v>0</v>
      </c>
      <c r="H119" s="189">
        <f>SUMIFS('Plan prihoda za unos u SAP'!$I$3:$I$501,'Plan prihoda za unos u SAP'!$C$3:$C$501,"=41",'Plan prihoda za unos u SAP'!$K$3:$K$501,"=832")</f>
        <v>0</v>
      </c>
      <c r="I119" s="189">
        <f>SUMIFS('Plan prihoda za unos u SAP'!$I$3:$I$501,'Plan prihoda za unos u SAP'!$C$3:$C$501,"=43",'Plan prihoda za unos u SAP'!$K$3:$K$501,"=832")</f>
        <v>0</v>
      </c>
      <c r="J119" s="189">
        <f>SUMIFS('Plan prihoda za unos u SAP'!$I$3:$I$501,'Plan prihoda za unos u SAP'!$C$3:$C$501,"=51",'Plan prihoda za unos u SAP'!$K$3:$K$501,"=832")</f>
        <v>0</v>
      </c>
      <c r="K119" s="189">
        <f>SUMIFS('Plan prihoda za unos u SAP'!$I$3:$I$501,'Plan prihoda za unos u SAP'!$C$3:$C$501,"=52",'Plan prihoda za unos u SAP'!$K$3:$K$501,"=832")</f>
        <v>0</v>
      </c>
      <c r="L119" s="189">
        <f>SUMIFS('Plan prihoda za unos u SAP'!$I$3:$I$501,'Plan prihoda za unos u SAP'!$C$3:$C$501,"=552",'Plan prihoda za unos u SAP'!$K$3:$K$501,"=832")</f>
        <v>0</v>
      </c>
      <c r="M119" s="189">
        <f>SUMIFS('Plan prihoda za unos u SAP'!$I$3:$I$501,'Plan prihoda za unos u SAP'!$C$3:$C$501,"=559",'Plan prihoda za unos u SAP'!$K$3:$K$501,"=832")</f>
        <v>0</v>
      </c>
      <c r="N119" s="189">
        <f>SUMIFS('Plan prihoda za unos u SAP'!$I$3:$I$501,'Plan prihoda za unos u SAP'!$C$3:$C$501,"=561",'Plan prihoda za unos u SAP'!$K$3:$K$501,"=832")</f>
        <v>0</v>
      </c>
      <c r="O119" s="189">
        <f>SUMIFS('Plan prihoda za unos u SAP'!$I$3:$I$501,'Plan prihoda za unos u SAP'!$C$3:$C$501,"=563",'Plan prihoda za unos u SAP'!$K$3:$K$501,"=832")</f>
        <v>0</v>
      </c>
      <c r="P119" s="189">
        <f>SUMIFS('Plan prihoda za unos u SAP'!$I$3:$I$501,'Plan prihoda za unos u SAP'!$C$3:$C$501,"=573",'Plan prihoda za unos u SAP'!$K$3:$K$501,"=832")</f>
        <v>0</v>
      </c>
      <c r="Q119" s="189">
        <f>SUMIFS('Plan prihoda za unos u SAP'!$I$3:$I$501,'Plan prihoda za unos u SAP'!$C$3:$C$501,"=575",'Plan prihoda za unos u SAP'!$K$3:$K$501,"=832")</f>
        <v>0</v>
      </c>
      <c r="R119" s="189">
        <f>SUMIFS('Plan prihoda za unos u SAP'!$I$3:$I$501,'Plan prihoda za unos u SAP'!$C$3:$C$501,"=576",'Plan prihoda za unos u SAP'!$K$3:$K$501,"=832")</f>
        <v>0</v>
      </c>
      <c r="S119" s="189">
        <f>SUMIFS('Plan prihoda za unos u SAP'!$I$3:$I$501,'Plan prihoda za unos u SAP'!$C$3:$C$501,"=61",'Plan prihoda za unos u SAP'!$K$3:$K$501,"=832")</f>
        <v>0</v>
      </c>
      <c r="T119" s="189">
        <f>SUMIFS('Plan prihoda za unos u SAP'!$I$3:$I$501,'Plan prihoda za unos u SAP'!$C$3:$C$501,"=63",'Plan prihoda za unos u SAP'!$K$3:$K$501,"=832")</f>
        <v>0</v>
      </c>
      <c r="U119" s="189">
        <f>SUMIFS('Plan prihoda za unos u SAP'!$I$3:$I$501,'Plan prihoda za unos u SAP'!$C$3:$C$501,"=71",'Plan prihoda za unos u SAP'!$K$3:$K$501,"=832")</f>
        <v>0</v>
      </c>
      <c r="V119" s="189">
        <f>SUMIFS('Plan prihoda za unos u SAP'!$I$3:$I$501,'Plan prihoda za unos u SAP'!$C$3:$C$501,"=81",'Plan prihoda za unos u SAP'!$K$3:$K$501,"=832")</f>
        <v>0</v>
      </c>
      <c r="W119" s="189">
        <f>SUMIFS('Plan prihoda za unos u SAP'!$I$3:$I$501,'Plan prihoda za unos u SAP'!$C$3:$C$501,"=83",'Plan prihoda za unos u SAP'!$K$3:$K$501,"=832")</f>
        <v>0</v>
      </c>
    </row>
    <row r="120" spans="1:23" s="90" customFormat="1" ht="25.5">
      <c r="A120" s="90">
        <v>2023</v>
      </c>
      <c r="B120" s="277">
        <v>833</v>
      </c>
      <c r="C120" s="102" t="s">
        <v>2136</v>
      </c>
      <c r="D120" s="70">
        <f t="shared" ref="D120" si="30">SUM(E120:W120)</f>
        <v>0</v>
      </c>
      <c r="E120" s="189">
        <f>SUMIFS('Plan prihoda za unos u SAP'!$I$3:$I$501,'Plan prihoda za unos u SAP'!$C$3:$C$501,"=11",'Plan prihoda za unos u SAP'!$K$3:$K$501,"=833")</f>
        <v>0</v>
      </c>
      <c r="F120" s="189">
        <f>SUMIFS('Plan prihoda za unos u SAP'!$I$3:$I$501,'Plan prihoda za unos u SAP'!$C$3:$C$501,"=12",'Plan prihoda za unos u SAP'!$K$3:$K$501,"=833")</f>
        <v>0</v>
      </c>
      <c r="G120" s="189">
        <f>SUMIFS('Plan prihoda za unos u SAP'!$I$3:$I$501,'Plan prihoda za unos u SAP'!$C$3:$C$501,"=31",'Plan prihoda za unos u SAP'!$K$3:$K$501,"=833")</f>
        <v>0</v>
      </c>
      <c r="H120" s="189">
        <f>SUMIFS('Plan prihoda za unos u SAP'!$I$3:$I$501,'Plan prihoda za unos u SAP'!$C$3:$C$501,"=41",'Plan prihoda za unos u SAP'!$K$3:$K$501,"=833")</f>
        <v>0</v>
      </c>
      <c r="I120" s="189">
        <f>SUMIFS('Plan prihoda za unos u SAP'!$I$3:$I$501,'Plan prihoda za unos u SAP'!$C$3:$C$501,"=43",'Plan prihoda za unos u SAP'!$K$3:$K$501,"=833")</f>
        <v>0</v>
      </c>
      <c r="J120" s="189">
        <f>SUMIFS('Plan prihoda za unos u SAP'!$I$3:$I$501,'Plan prihoda za unos u SAP'!$C$3:$C$501,"=51",'Plan prihoda za unos u SAP'!$K$3:$K$501,"=833")</f>
        <v>0</v>
      </c>
      <c r="K120" s="189">
        <f>SUMIFS('Plan prihoda za unos u SAP'!$I$3:$I$501,'Plan prihoda za unos u SAP'!$C$3:$C$501,"=52",'Plan prihoda za unos u SAP'!$K$3:$K$501,"=833")</f>
        <v>0</v>
      </c>
      <c r="L120" s="189">
        <f>SUMIFS('Plan prihoda za unos u SAP'!$I$3:$I$501,'Plan prihoda za unos u SAP'!$C$3:$C$501,"=552",'Plan prihoda za unos u SAP'!$K$3:$K$501,"=833")</f>
        <v>0</v>
      </c>
      <c r="M120" s="189">
        <f>SUMIFS('Plan prihoda za unos u SAP'!$I$3:$I$501,'Plan prihoda za unos u SAP'!$C$3:$C$501,"=559",'Plan prihoda za unos u SAP'!$K$3:$K$501,"=833")</f>
        <v>0</v>
      </c>
      <c r="N120" s="189">
        <f>SUMIFS('Plan prihoda za unos u SAP'!$I$3:$I$501,'Plan prihoda za unos u SAP'!$C$3:$C$501,"=561",'Plan prihoda za unos u SAP'!$K$3:$K$501,"=833")</f>
        <v>0</v>
      </c>
      <c r="O120" s="189">
        <f>SUMIFS('Plan prihoda za unos u SAP'!$I$3:$I$501,'Plan prihoda za unos u SAP'!$C$3:$C$501,"=563",'Plan prihoda za unos u SAP'!$K$3:$K$501,"=833")</f>
        <v>0</v>
      </c>
      <c r="P120" s="189">
        <f>SUMIFS('Plan prihoda za unos u SAP'!$I$3:$I$501,'Plan prihoda za unos u SAP'!$C$3:$C$501,"=573",'Plan prihoda za unos u SAP'!$K$3:$K$501,"=833")</f>
        <v>0</v>
      </c>
      <c r="Q120" s="189">
        <f>SUMIFS('Plan prihoda za unos u SAP'!$I$3:$I$501,'Plan prihoda za unos u SAP'!$C$3:$C$501,"=575",'Plan prihoda za unos u SAP'!$K$3:$K$501,"=833")</f>
        <v>0</v>
      </c>
      <c r="R120" s="189">
        <f>SUMIFS('Plan prihoda za unos u SAP'!$I$3:$I$501,'Plan prihoda za unos u SAP'!$C$3:$C$501,"=576",'Plan prihoda za unos u SAP'!$K$3:$K$501,"=833")</f>
        <v>0</v>
      </c>
      <c r="S120" s="189">
        <f>SUMIFS('Plan prihoda za unos u SAP'!$I$3:$I$501,'Plan prihoda za unos u SAP'!$C$3:$C$501,"=61",'Plan prihoda za unos u SAP'!$K$3:$K$501,"=833")</f>
        <v>0</v>
      </c>
      <c r="T120" s="189">
        <f>SUMIFS('Plan prihoda za unos u SAP'!$I$3:$I$501,'Plan prihoda za unos u SAP'!$C$3:$C$501,"=63",'Plan prihoda za unos u SAP'!$K$3:$K$501,"=833")</f>
        <v>0</v>
      </c>
      <c r="U120" s="189">
        <f>SUMIFS('Plan prihoda za unos u SAP'!$I$3:$I$501,'Plan prihoda za unos u SAP'!$C$3:$C$501,"=71",'Plan prihoda za unos u SAP'!$K$3:$K$501,"=833")</f>
        <v>0</v>
      </c>
      <c r="V120" s="189">
        <f>SUMIFS('Plan prihoda za unos u SAP'!$I$3:$I$501,'Plan prihoda za unos u SAP'!$C$3:$C$501,"=81",'Plan prihoda za unos u SAP'!$K$3:$K$501,"=833")</f>
        <v>0</v>
      </c>
      <c r="W120" s="189">
        <f>SUMIFS('Plan prihoda za unos u SAP'!$I$3:$I$501,'Plan prihoda za unos u SAP'!$C$3:$C$501,"=83",'Plan prihoda za unos u SAP'!$K$3:$K$501,"=833")</f>
        <v>0</v>
      </c>
    </row>
    <row r="121" spans="1:23" s="90" customFormat="1" ht="25.5">
      <c r="A121" s="90">
        <v>2023</v>
      </c>
      <c r="B121" s="101">
        <v>841</v>
      </c>
      <c r="C121" s="102" t="s">
        <v>1569</v>
      </c>
      <c r="D121" s="70">
        <f t="shared" si="23"/>
        <v>0</v>
      </c>
      <c r="E121" s="189">
        <f>SUMIFS('Plan prihoda za unos u SAP'!$I$3:$I$501,'Plan prihoda za unos u SAP'!$C$3:$C$501,"=11",'Plan prihoda za unos u SAP'!$K$3:$K$501,"=841")</f>
        <v>0</v>
      </c>
      <c r="F121" s="189">
        <f>SUMIFS('Plan prihoda za unos u SAP'!$I$3:$I$501,'Plan prihoda za unos u SAP'!$C$3:$C$501,"=12",'Plan prihoda za unos u SAP'!$K$3:$K$501,"=841")</f>
        <v>0</v>
      </c>
      <c r="G121" s="189">
        <f>SUMIFS('Plan prihoda za unos u SAP'!$I$3:$I$501,'Plan prihoda za unos u SAP'!$C$3:$C$501,"=31",'Plan prihoda za unos u SAP'!$K$3:$K$501,"=841")</f>
        <v>0</v>
      </c>
      <c r="H121" s="189">
        <f>SUMIFS('Plan prihoda za unos u SAP'!$I$3:$I$501,'Plan prihoda za unos u SAP'!$C$3:$C$501,"=41",'Plan prihoda za unos u SAP'!$K$3:$K$501,"=841")</f>
        <v>0</v>
      </c>
      <c r="I121" s="189">
        <f>SUMIFS('Plan prihoda za unos u SAP'!$I$3:$I$501,'Plan prihoda za unos u SAP'!$C$3:$C$501,"=43",'Plan prihoda za unos u SAP'!$K$3:$K$501,"=841")</f>
        <v>0</v>
      </c>
      <c r="J121" s="189">
        <f>SUMIFS('Plan prihoda za unos u SAP'!$I$3:$I$501,'Plan prihoda za unos u SAP'!$C$3:$C$501,"=51",'Plan prihoda za unos u SAP'!$K$3:$K$501,"=841")</f>
        <v>0</v>
      </c>
      <c r="K121" s="189">
        <f>SUMIFS('Plan prihoda za unos u SAP'!$I$3:$I$501,'Plan prihoda za unos u SAP'!$C$3:$C$501,"=52",'Plan prihoda za unos u SAP'!$K$3:$K$501,"=841")</f>
        <v>0</v>
      </c>
      <c r="L121" s="189">
        <f>SUMIFS('Plan prihoda za unos u SAP'!$I$3:$I$501,'Plan prihoda za unos u SAP'!$C$3:$C$501,"=552",'Plan prihoda za unos u SAP'!$K$3:$K$501,"=841")</f>
        <v>0</v>
      </c>
      <c r="M121" s="189">
        <f>SUMIFS('Plan prihoda za unos u SAP'!$I$3:$I$501,'Plan prihoda za unos u SAP'!$C$3:$C$501,"=559",'Plan prihoda za unos u SAP'!$K$3:$K$501,"=841")</f>
        <v>0</v>
      </c>
      <c r="N121" s="189">
        <f>SUMIFS('Plan prihoda za unos u SAP'!$I$3:$I$501,'Plan prihoda za unos u SAP'!$C$3:$C$501,"=561",'Plan prihoda za unos u SAP'!$K$3:$K$501,"=841")</f>
        <v>0</v>
      </c>
      <c r="O121" s="189">
        <f>SUMIFS('Plan prihoda za unos u SAP'!$I$3:$I$501,'Plan prihoda za unos u SAP'!$C$3:$C$501,"=563",'Plan prihoda za unos u SAP'!$K$3:$K$501,"=841")</f>
        <v>0</v>
      </c>
      <c r="P121" s="189">
        <f>SUMIFS('Plan prihoda za unos u SAP'!$I$3:$I$501,'Plan prihoda za unos u SAP'!$C$3:$C$501,"=573",'Plan prihoda za unos u SAP'!$K$3:$K$501,"=841")</f>
        <v>0</v>
      </c>
      <c r="Q121" s="189">
        <f>SUMIFS('Plan prihoda za unos u SAP'!$I$3:$I$501,'Plan prihoda za unos u SAP'!$C$3:$C$501,"=575",'Plan prihoda za unos u SAP'!$K$3:$K$501,"=841")</f>
        <v>0</v>
      </c>
      <c r="R121" s="189">
        <f>SUMIFS('Plan prihoda za unos u SAP'!$I$3:$I$501,'Plan prihoda za unos u SAP'!$C$3:$C$501,"=576",'Plan prihoda za unos u SAP'!$K$3:$K$501,"=841")</f>
        <v>0</v>
      </c>
      <c r="S121" s="189">
        <f>SUMIFS('Plan prihoda za unos u SAP'!$I$3:$I$501,'Plan prihoda za unos u SAP'!$C$3:$C$501,"=61",'Plan prihoda za unos u SAP'!$K$3:$K$501,"=841")</f>
        <v>0</v>
      </c>
      <c r="T121" s="189">
        <f>SUMIFS('Plan prihoda za unos u SAP'!$I$3:$I$501,'Plan prihoda za unos u SAP'!$C$3:$C$501,"=63",'Plan prihoda za unos u SAP'!$K$3:$K$501,"=841")</f>
        <v>0</v>
      </c>
      <c r="U121" s="189">
        <f>SUMIFS('Plan prihoda za unos u SAP'!$I$3:$I$501,'Plan prihoda za unos u SAP'!$C$3:$C$501,"=71",'Plan prihoda za unos u SAP'!$K$3:$K$501,"=841")</f>
        <v>0</v>
      </c>
      <c r="V121" s="189">
        <f>SUMIFS('Plan prihoda za unos u SAP'!$I$3:$I$501,'Plan prihoda za unos u SAP'!$C$3:$C$501,"=81",'Plan prihoda za unos u SAP'!$K$3:$K$501,"=841")</f>
        <v>0</v>
      </c>
      <c r="W121" s="189">
        <f>SUMIFS('Plan prihoda za unos u SAP'!$I$3:$I$501,'Plan prihoda za unos u SAP'!$C$3:$C$501,"=83",'Plan prihoda za unos u SAP'!$K$3:$K$501,"=841")</f>
        <v>0</v>
      </c>
    </row>
    <row r="122" spans="1:23" s="90" customFormat="1" ht="25.5">
      <c r="A122" s="90">
        <v>2023</v>
      </c>
      <c r="B122" s="101">
        <v>842</v>
      </c>
      <c r="C122" s="102" t="s">
        <v>324</v>
      </c>
      <c r="D122" s="70">
        <f>SUM(E122:W122)</f>
        <v>0</v>
      </c>
      <c r="E122" s="189">
        <f>SUMIFS('Plan prihoda za unos u SAP'!$I$3:$I$501,'Plan prihoda za unos u SAP'!$C$3:$C$501,"=11",'Plan prihoda za unos u SAP'!$K$3:$K$501,"=841")</f>
        <v>0</v>
      </c>
      <c r="F122" s="189">
        <f>SUMIFS('Plan prihoda za unos u SAP'!$I$3:$I$501,'Plan prihoda za unos u SAP'!$C$3:$C$501,"=12",'Plan prihoda za unos u SAP'!$K$3:$K$501,"=841")</f>
        <v>0</v>
      </c>
      <c r="G122" s="189">
        <f>SUMIFS('Plan prihoda za unos u SAP'!$I$3:$I$501,'Plan prihoda za unos u SAP'!$C$3:$C$501,"=31",'Plan prihoda za unos u SAP'!$K$3:$K$501,"=841")</f>
        <v>0</v>
      </c>
      <c r="H122" s="189">
        <f>SUMIFS('Plan prihoda za unos u SAP'!$I$3:$I$501,'Plan prihoda za unos u SAP'!$C$3:$C$501,"=41",'Plan prihoda za unos u SAP'!$K$3:$K$501,"=841")</f>
        <v>0</v>
      </c>
      <c r="I122" s="189">
        <f>SUMIFS('Plan prihoda za unos u SAP'!$I$3:$I$501,'Plan prihoda za unos u SAP'!$C$3:$C$501,"=43",'Plan prihoda za unos u SAP'!$K$3:$K$501,"=841")</f>
        <v>0</v>
      </c>
      <c r="J122" s="189">
        <f>SUMIFS('Plan prihoda za unos u SAP'!$I$3:$I$501,'Plan prihoda za unos u SAP'!$C$3:$C$501,"=51",'Plan prihoda za unos u SAP'!$K$3:$K$501,"=841")</f>
        <v>0</v>
      </c>
      <c r="K122" s="189">
        <f>SUMIFS('Plan prihoda za unos u SAP'!$I$3:$I$501,'Plan prihoda za unos u SAP'!$C$3:$C$501,"=52",'Plan prihoda za unos u SAP'!$K$3:$K$501,"=841")</f>
        <v>0</v>
      </c>
      <c r="L122" s="189">
        <f>SUMIFS('Plan prihoda za unos u SAP'!$I$3:$I$501,'Plan prihoda za unos u SAP'!$C$3:$C$501,"=552",'Plan prihoda za unos u SAP'!$K$3:$K$501,"=841")</f>
        <v>0</v>
      </c>
      <c r="M122" s="189">
        <f>SUMIFS('Plan prihoda za unos u SAP'!$I$3:$I$501,'Plan prihoda za unos u SAP'!$C$3:$C$501,"=559",'Plan prihoda za unos u SAP'!$K$3:$K$501,"=841")</f>
        <v>0</v>
      </c>
      <c r="N122" s="189">
        <f>SUMIFS('Plan prihoda za unos u SAP'!$I$3:$I$501,'Plan prihoda za unos u SAP'!$C$3:$C$501,"=561",'Plan prihoda za unos u SAP'!$K$3:$K$501,"=841")</f>
        <v>0</v>
      </c>
      <c r="O122" s="189">
        <f>SUMIFS('Plan prihoda za unos u SAP'!$I$3:$I$501,'Plan prihoda za unos u SAP'!$C$3:$C$501,"=563",'Plan prihoda za unos u SAP'!$K$3:$K$501,"=841")</f>
        <v>0</v>
      </c>
      <c r="P122" s="189">
        <f>SUMIFS('Plan prihoda za unos u SAP'!$I$3:$I$501,'Plan prihoda za unos u SAP'!$C$3:$C$501,"=573",'Plan prihoda za unos u SAP'!$K$3:$K$501,"=841")</f>
        <v>0</v>
      </c>
      <c r="Q122" s="189">
        <f>SUMIFS('Plan prihoda za unos u SAP'!$I$3:$I$501,'Plan prihoda za unos u SAP'!$C$3:$C$501,"=575",'Plan prihoda za unos u SAP'!$K$3:$K$501,"=841")</f>
        <v>0</v>
      </c>
      <c r="R122" s="189">
        <f>SUMIFS('Plan prihoda za unos u SAP'!$I$3:$I$501,'Plan prihoda za unos u SAP'!$C$3:$C$501,"=576",'Plan prihoda za unos u SAP'!$K$3:$K$501,"=841")</f>
        <v>0</v>
      </c>
      <c r="S122" s="189">
        <f>SUMIFS('Plan prihoda za unos u SAP'!$I$3:$I$501,'Plan prihoda za unos u SAP'!$C$3:$C$501,"=61",'Plan prihoda za unos u SAP'!$K$3:$K$501,"=841")</f>
        <v>0</v>
      </c>
      <c r="T122" s="189">
        <f>SUMIFS('Plan prihoda za unos u SAP'!$I$3:$I$501,'Plan prihoda za unos u SAP'!$C$3:$C$501,"=63",'Plan prihoda za unos u SAP'!$K$3:$K$501,"=841")</f>
        <v>0</v>
      </c>
      <c r="U122" s="189">
        <f>SUMIFS('Plan prihoda za unos u SAP'!$I$3:$I$501,'Plan prihoda za unos u SAP'!$C$3:$C$501,"=71",'Plan prihoda za unos u SAP'!$K$3:$K$501,"=841")</f>
        <v>0</v>
      </c>
      <c r="V122" s="189">
        <f>SUMIFS('Plan prihoda za unos u SAP'!$I$3:$I$501,'Plan prihoda za unos u SAP'!$C$3:$C$501,"=81",'Plan prihoda za unos u SAP'!$K$3:$K$501,"=841")</f>
        <v>0</v>
      </c>
      <c r="W122" s="189">
        <f>SUMIFS('Plan prihoda za unos u SAP'!$I$3:$I$501,'Plan prihoda za unos u SAP'!$C$3:$C$501,"=83",'Plan prihoda za unos u SAP'!$K$3:$K$501,"=841")</f>
        <v>0</v>
      </c>
    </row>
    <row r="123" spans="1:23" s="90" customFormat="1">
      <c r="A123" s="90">
        <v>2023</v>
      </c>
      <c r="B123" s="98" t="s">
        <v>315</v>
      </c>
      <c r="C123" s="99" t="s">
        <v>306</v>
      </c>
      <c r="D123" s="70">
        <f t="shared" si="23"/>
        <v>0</v>
      </c>
      <c r="E123" s="4">
        <f>SUM(E117:E122)</f>
        <v>0</v>
      </c>
      <c r="F123" s="4">
        <f t="shared" ref="F123:V123" si="31">SUM(F117:F122)</f>
        <v>0</v>
      </c>
      <c r="G123" s="4">
        <f t="shared" si="31"/>
        <v>0</v>
      </c>
      <c r="H123" s="4">
        <f>SUM(H117:H122)</f>
        <v>0</v>
      </c>
      <c r="I123" s="4">
        <f t="shared" si="31"/>
        <v>0</v>
      </c>
      <c r="J123" s="4">
        <f t="shared" si="31"/>
        <v>0</v>
      </c>
      <c r="K123" s="4">
        <f>SUM(K117:K122)</f>
        <v>0</v>
      </c>
      <c r="L123" s="4">
        <f>SUM(L117:L122)</f>
        <v>0</v>
      </c>
      <c r="M123" s="4">
        <f t="shared" si="31"/>
        <v>0</v>
      </c>
      <c r="N123" s="4">
        <f t="shared" si="31"/>
        <v>0</v>
      </c>
      <c r="O123" s="4">
        <f t="shared" si="31"/>
        <v>0</v>
      </c>
      <c r="P123" s="4">
        <f>SUM(P117:P122)</f>
        <v>0</v>
      </c>
      <c r="Q123" s="4">
        <f>SUM(Q117:Q122)</f>
        <v>0</v>
      </c>
      <c r="R123" s="4">
        <f>SUM(R117:R122)</f>
        <v>0</v>
      </c>
      <c r="S123" s="4">
        <f t="shared" si="31"/>
        <v>0</v>
      </c>
      <c r="T123" s="4">
        <f t="shared" si="31"/>
        <v>0</v>
      </c>
      <c r="U123" s="4">
        <f t="shared" si="31"/>
        <v>0</v>
      </c>
      <c r="V123" s="4">
        <f t="shared" si="31"/>
        <v>0</v>
      </c>
      <c r="W123" s="4">
        <f>SUM(W117:W122)</f>
        <v>0</v>
      </c>
    </row>
    <row r="124" spans="1:23" s="90" customFormat="1" ht="21" customHeight="1">
      <c r="A124" s="90">
        <v>2023</v>
      </c>
      <c r="B124" s="326" t="s">
        <v>316</v>
      </c>
      <c r="C124" s="326"/>
      <c r="D124" s="71">
        <f>SUM(E124:W124)</f>
        <v>175067629</v>
      </c>
      <c r="E124" s="71">
        <f>+E123+E116+E109</f>
        <v>157684699</v>
      </c>
      <c r="F124" s="71">
        <f t="shared" ref="F124:W124" si="32">+F123+F116+F109</f>
        <v>0</v>
      </c>
      <c r="G124" s="71">
        <f t="shared" si="32"/>
        <v>9835000</v>
      </c>
      <c r="H124" s="71">
        <f>+H123+H116+H109</f>
        <v>0</v>
      </c>
      <c r="I124" s="71">
        <f t="shared" si="32"/>
        <v>6122749</v>
      </c>
      <c r="J124" s="71">
        <f t="shared" si="32"/>
        <v>1325181</v>
      </c>
      <c r="K124" s="71">
        <f t="shared" si="32"/>
        <v>100000</v>
      </c>
      <c r="L124" s="71">
        <f>+L123+L116+L109</f>
        <v>0</v>
      </c>
      <c r="M124" s="71">
        <f t="shared" si="32"/>
        <v>0</v>
      </c>
      <c r="N124" s="71">
        <f t="shared" si="32"/>
        <v>0</v>
      </c>
      <c r="O124" s="71">
        <f t="shared" si="32"/>
        <v>0</v>
      </c>
      <c r="P124" s="71">
        <f t="shared" si="32"/>
        <v>0</v>
      </c>
      <c r="Q124" s="71">
        <f t="shared" si="32"/>
        <v>0</v>
      </c>
      <c r="R124" s="71">
        <f>+R123+R116+R109</f>
        <v>0</v>
      </c>
      <c r="S124" s="71">
        <f t="shared" si="32"/>
        <v>0</v>
      </c>
      <c r="T124" s="71">
        <f t="shared" si="32"/>
        <v>0</v>
      </c>
      <c r="U124" s="71">
        <f t="shared" si="32"/>
        <v>0</v>
      </c>
      <c r="V124" s="71">
        <f t="shared" si="32"/>
        <v>0</v>
      </c>
      <c r="W124" s="71">
        <f t="shared" si="32"/>
        <v>0</v>
      </c>
    </row>
    <row r="125" spans="1:23">
      <c r="B125" s="62"/>
      <c r="C125" s="62"/>
      <c r="D125" s="62"/>
      <c r="E125" s="62"/>
      <c r="F125" s="62"/>
      <c r="G125" s="62"/>
      <c r="H125" s="62"/>
      <c r="I125" s="103"/>
      <c r="J125" s="104"/>
      <c r="K125" s="104"/>
      <c r="L125" s="104"/>
      <c r="M125" s="104"/>
      <c r="N125" s="104"/>
      <c r="O125" s="104"/>
      <c r="P125" s="104"/>
      <c r="Q125" s="104"/>
      <c r="R125" s="104"/>
      <c r="V125" s="91"/>
      <c r="W125" s="91"/>
    </row>
    <row r="126" spans="1:23">
      <c r="G126" s="5"/>
      <c r="H126" s="5"/>
      <c r="I126" s="63"/>
      <c r="J126" s="105"/>
      <c r="K126" s="105"/>
      <c r="L126" s="105"/>
      <c r="M126" s="105"/>
      <c r="N126" s="105"/>
      <c r="O126" s="105"/>
      <c r="P126" s="105"/>
      <c r="Q126" s="105"/>
      <c r="R126" s="105"/>
    </row>
    <row r="127" spans="1:23">
      <c r="G127" s="5"/>
      <c r="H127" s="5"/>
      <c r="I127" s="106"/>
      <c r="J127" s="107"/>
      <c r="K127" s="107"/>
      <c r="L127" s="107"/>
      <c r="M127" s="107"/>
      <c r="N127" s="107"/>
      <c r="O127" s="107"/>
      <c r="P127" s="107"/>
      <c r="Q127" s="107"/>
      <c r="R127" s="107"/>
    </row>
    <row r="128" spans="1:23">
      <c r="B128" s="5"/>
      <c r="C128" s="5"/>
      <c r="D128" s="5"/>
      <c r="E128" s="5"/>
      <c r="F128" s="5"/>
      <c r="G128" s="5"/>
      <c r="H128" s="5"/>
      <c r="I128" s="64"/>
      <c r="J128" s="5"/>
      <c r="K128" s="5"/>
      <c r="L128" s="5"/>
      <c r="M128" s="5"/>
      <c r="N128" s="5"/>
      <c r="O128" s="5"/>
      <c r="P128" s="5"/>
      <c r="Q128" s="5"/>
      <c r="R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5"/>
      <c r="K130" s="5"/>
      <c r="L130" s="5"/>
      <c r="M130" s="5"/>
      <c r="N130" s="5"/>
      <c r="O130" s="5"/>
      <c r="P130" s="5"/>
      <c r="Q130" s="5"/>
      <c r="R130" s="5"/>
    </row>
    <row r="131" spans="2:18">
      <c r="B131" s="5"/>
      <c r="C131" s="5"/>
      <c r="D131" s="5"/>
      <c r="E131" s="5"/>
      <c r="F131" s="5"/>
      <c r="G131" s="5"/>
      <c r="H131" s="5"/>
    </row>
    <row r="132" spans="2:18">
      <c r="B132" s="5"/>
      <c r="C132" s="5"/>
      <c r="D132" s="5"/>
      <c r="E132" s="5"/>
      <c r="F132" s="5"/>
      <c r="G132" s="5"/>
      <c r="H132" s="5"/>
      <c r="I132" s="64"/>
      <c r="J132" s="5"/>
      <c r="K132" s="5"/>
      <c r="L132" s="5"/>
      <c r="M132" s="5"/>
      <c r="N132" s="5"/>
      <c r="O132" s="5"/>
      <c r="P132" s="5"/>
      <c r="Q132" s="5"/>
      <c r="R132" s="5"/>
    </row>
    <row r="133" spans="2:18">
      <c r="B133" s="5"/>
      <c r="C133" s="5"/>
      <c r="D133" s="5"/>
      <c r="E133" s="5"/>
      <c r="F133" s="5"/>
      <c r="G133" s="5"/>
      <c r="H133" s="5"/>
      <c r="I133" s="64"/>
      <c r="J133" s="66"/>
      <c r="K133" s="66"/>
      <c r="L133" s="66"/>
      <c r="M133" s="66"/>
      <c r="N133" s="66"/>
      <c r="O133" s="66"/>
      <c r="P133" s="66"/>
      <c r="Q133" s="66"/>
      <c r="R133" s="66"/>
    </row>
    <row r="134" spans="2:18">
      <c r="B134" s="5"/>
      <c r="C134" s="5"/>
      <c r="D134" s="5"/>
      <c r="E134" s="5"/>
      <c r="F134" s="5"/>
      <c r="G134" s="5"/>
      <c r="H134" s="5"/>
      <c r="I134" s="64"/>
      <c r="J134" s="5"/>
      <c r="K134" s="5"/>
      <c r="L134" s="5"/>
      <c r="M134" s="5"/>
      <c r="N134" s="5"/>
      <c r="O134" s="5"/>
      <c r="P134" s="5"/>
      <c r="Q134" s="5"/>
      <c r="R134" s="5"/>
    </row>
    <row r="135" spans="2:18">
      <c r="B135" s="5"/>
      <c r="C135" s="5"/>
      <c r="D135" s="5"/>
      <c r="E135" s="5"/>
      <c r="F135" s="5"/>
      <c r="G135" s="5"/>
      <c r="H135" s="5"/>
      <c r="I135" s="64"/>
      <c r="J135" s="108"/>
      <c r="K135" s="108"/>
      <c r="L135" s="108"/>
      <c r="M135" s="108"/>
      <c r="N135" s="108"/>
      <c r="O135" s="108"/>
      <c r="P135" s="108"/>
      <c r="Q135" s="108"/>
      <c r="R135" s="108"/>
    </row>
    <row r="136" spans="2:18">
      <c r="I136" s="106"/>
      <c r="J136" s="109"/>
      <c r="K136" s="109"/>
      <c r="L136" s="109"/>
      <c r="M136" s="109"/>
      <c r="N136" s="109"/>
      <c r="O136" s="109"/>
      <c r="P136" s="109"/>
      <c r="Q136" s="109"/>
      <c r="R136" s="109"/>
    </row>
  </sheetData>
  <sheetProtection password="DE31" sheet="1" objects="1" scenarios="1" selectLockedCells="1"/>
  <mergeCells count="10">
    <mergeCell ref="B1:V1"/>
    <mergeCell ref="B3:C3"/>
    <mergeCell ref="D3:V3"/>
    <mergeCell ref="B42:C42"/>
    <mergeCell ref="B83:C83"/>
    <mergeCell ref="B85:C85"/>
    <mergeCell ref="D85:V85"/>
    <mergeCell ref="B124:C124"/>
    <mergeCell ref="B44:C44"/>
    <mergeCell ref="D44:V44"/>
  </mergeCells>
  <phoneticPr fontId="39" type="noConversion"/>
  <dataValidations count="2">
    <dataValidation type="whole" allowBlank="1" showInputMessage="1" showErrorMessage="1" errorTitle="GREŠKA" error="U ovo polje je dozvoljen unos samo brojčanih vrijednosti s negativnim predznakom!" prompt="Molimo unos brojčane vrijednosti s negativnim predznakom!" sqref="E7:W7">
      <formula1>-100000000</formula1>
      <formula2>0</formula2>
    </dataValidation>
    <dataValidation type="whole" allowBlank="1" showInputMessage="1" showErrorMessage="1" errorTitle="GREŠKA" error="U ovo polje je dozvoljen unos samo brojčanih vrijednosti!" prompt="Molimo unos brojčane vrijednosti!" sqref="E5:W5">
      <formula1>0</formula1>
      <formula2>100000000</formula2>
    </dataValidation>
  </dataValidations>
  <pageMargins left="0" right="0" top="0.35433070866141736" bottom="0.15748031496062992" header="0.31496062992125984" footer="0.31496062992125984"/>
  <pageSetup paperSize="9" scale="57" fitToHeight="0" orientation="landscape" r:id="rId1"/>
  <rowBreaks count="2" manualBreakCount="2">
    <brk id="42" max="16383" man="1"/>
    <brk id="8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C3684"/>
  <sheetViews>
    <sheetView showGridLines="0" zoomScale="80" zoomScaleNormal="80" zoomScaleSheetLayoutView="80" workbookViewId="0">
      <pane xSplit="4" ySplit="3" topLeftCell="G4" activePane="bottomRight" state="frozen"/>
      <selection pane="topRight" activeCell="D1" sqref="D1"/>
      <selection pane="bottomLeft" activeCell="A4" sqref="A4"/>
      <selection pane="bottomRight" activeCell="R90" sqref="R90"/>
    </sheetView>
  </sheetViews>
  <sheetFormatPr defaultColWidth="11.42578125" defaultRowHeight="12.75"/>
  <cols>
    <col min="1" max="1" width="0" style="73" hidden="1" customWidth="1"/>
    <col min="2" max="2" width="14.140625" style="23" customWidth="1"/>
    <col min="3" max="3" width="40" style="24" customWidth="1"/>
    <col min="4" max="4" width="13.85546875" style="1" customWidth="1"/>
    <col min="5" max="15" width="13.140625" style="25" customWidth="1"/>
    <col min="16" max="16" width="14.42578125" style="25" customWidth="1"/>
    <col min="17" max="20" width="13.140625" style="25" customWidth="1"/>
    <col min="21" max="21" width="14.7109375" style="25" customWidth="1"/>
    <col min="22" max="23" width="13.140625" style="25" customWidth="1"/>
    <col min="24" max="39" width="11.42578125" style="72" customWidth="1"/>
    <col min="40" max="193" width="11.42578125" style="72"/>
    <col min="194" max="16384" width="11.42578125" style="73"/>
  </cols>
  <sheetData>
    <row r="1" spans="1:263" ht="24" customHeight="1">
      <c r="B1" s="328" t="s">
        <v>2144</v>
      </c>
      <c r="C1" s="328"/>
      <c r="D1" s="328"/>
      <c r="E1" s="328"/>
      <c r="F1" s="328"/>
      <c r="G1" s="328"/>
      <c r="H1" s="328"/>
      <c r="I1" s="328"/>
      <c r="J1" s="328"/>
      <c r="K1" s="328"/>
      <c r="L1" s="328"/>
      <c r="M1" s="328"/>
      <c r="N1" s="328"/>
      <c r="O1" s="328"/>
      <c r="P1" s="328"/>
      <c r="Q1" s="328"/>
      <c r="R1" s="328"/>
      <c r="S1" s="328"/>
      <c r="T1" s="328"/>
      <c r="U1" s="328"/>
      <c r="V1" s="328"/>
      <c r="W1" s="217"/>
    </row>
    <row r="2" spans="1:263" s="74" customFormat="1" ht="63.75">
      <c r="A2" s="93" t="s">
        <v>2139</v>
      </c>
      <c r="B2" s="93" t="s">
        <v>202</v>
      </c>
      <c r="C2" s="93" t="s">
        <v>203</v>
      </c>
      <c r="D2" s="2" t="s">
        <v>354</v>
      </c>
      <c r="E2" s="2" t="s">
        <v>40</v>
      </c>
      <c r="F2" s="2" t="s">
        <v>325</v>
      </c>
      <c r="G2" s="93" t="s">
        <v>19</v>
      </c>
      <c r="H2" s="93" t="s">
        <v>1560</v>
      </c>
      <c r="I2" s="93" t="s">
        <v>20</v>
      </c>
      <c r="J2" s="93" t="s">
        <v>273</v>
      </c>
      <c r="K2" s="93" t="s">
        <v>274</v>
      </c>
      <c r="L2" s="93" t="s">
        <v>1561</v>
      </c>
      <c r="M2" s="93" t="s">
        <v>275</v>
      </c>
      <c r="N2" s="93" t="s">
        <v>276</v>
      </c>
      <c r="O2" s="93" t="s">
        <v>277</v>
      </c>
      <c r="P2" s="93" t="s">
        <v>1562</v>
      </c>
      <c r="Q2" s="93" t="s">
        <v>1563</v>
      </c>
      <c r="R2" s="93" t="s">
        <v>2133</v>
      </c>
      <c r="S2" s="93" t="s">
        <v>278</v>
      </c>
      <c r="T2" s="93" t="s">
        <v>279</v>
      </c>
      <c r="U2" s="93" t="s">
        <v>1534</v>
      </c>
      <c r="V2" s="93" t="s">
        <v>1533</v>
      </c>
      <c r="W2" s="93" t="s">
        <v>1535</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359</v>
      </c>
      <c r="D3" s="120">
        <f>SUM(E3:W3)</f>
        <v>173787826</v>
      </c>
      <c r="E3" s="121">
        <f t="shared" ref="E3:W3" si="0">E4+E38+E58</f>
        <v>153483452</v>
      </c>
      <c r="F3" s="121">
        <f t="shared" si="0"/>
        <v>0</v>
      </c>
      <c r="G3" s="121">
        <f t="shared" si="0"/>
        <v>9315000</v>
      </c>
      <c r="H3" s="121">
        <f>H4+H38+H58</f>
        <v>0</v>
      </c>
      <c r="I3" s="121">
        <f t="shared" si="0"/>
        <v>7000000</v>
      </c>
      <c r="J3" s="121">
        <f t="shared" si="0"/>
        <v>3659374</v>
      </c>
      <c r="K3" s="121">
        <f t="shared" si="0"/>
        <v>100000</v>
      </c>
      <c r="L3" s="121">
        <f>L4+L38+L58</f>
        <v>0</v>
      </c>
      <c r="M3" s="121">
        <f t="shared" si="0"/>
        <v>0</v>
      </c>
      <c r="N3" s="121">
        <f t="shared" si="0"/>
        <v>0</v>
      </c>
      <c r="O3" s="121">
        <f t="shared" si="0"/>
        <v>0</v>
      </c>
      <c r="P3" s="121">
        <f>P4+P38+P58</f>
        <v>0</v>
      </c>
      <c r="Q3" s="121">
        <f>Q4+Q38+Q58</f>
        <v>0</v>
      </c>
      <c r="R3" s="121">
        <f>R4+R38+R58</f>
        <v>0</v>
      </c>
      <c r="S3" s="121">
        <f t="shared" si="0"/>
        <v>230000</v>
      </c>
      <c r="T3" s="121">
        <f t="shared" si="0"/>
        <v>0</v>
      </c>
      <c r="U3" s="121">
        <f t="shared" si="0"/>
        <v>0</v>
      </c>
      <c r="V3" s="121">
        <f t="shared" si="0"/>
        <v>0</v>
      </c>
      <c r="W3" s="121">
        <f t="shared" si="0"/>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204</v>
      </c>
      <c r="D4" s="124">
        <f t="shared" ref="D4:D67" si="1">SUM(E4:W4)</f>
        <v>170438252</v>
      </c>
      <c r="E4" s="125">
        <f>E5+E9+E15+E19+E23+E30+E33</f>
        <v>151876524</v>
      </c>
      <c r="F4" s="125">
        <f t="shared" ref="F4:W4" si="2">F5+F9+F15+F19+F23+F30+F33</f>
        <v>0</v>
      </c>
      <c r="G4" s="125">
        <f t="shared" si="2"/>
        <v>8940000</v>
      </c>
      <c r="H4" s="125">
        <f>H5+H9+H15+H19+H23+H30+H33</f>
        <v>0</v>
      </c>
      <c r="I4" s="125">
        <f t="shared" si="2"/>
        <v>5880000</v>
      </c>
      <c r="J4" s="125">
        <f t="shared" si="2"/>
        <v>3511728</v>
      </c>
      <c r="K4" s="125">
        <f t="shared" si="2"/>
        <v>0</v>
      </c>
      <c r="L4" s="125">
        <f>L5+L9+L15+L19+L23+L30+L33</f>
        <v>0</v>
      </c>
      <c r="M4" s="125">
        <f t="shared" si="2"/>
        <v>0</v>
      </c>
      <c r="N4" s="125">
        <f t="shared" si="2"/>
        <v>0</v>
      </c>
      <c r="O4" s="125">
        <f t="shared" si="2"/>
        <v>0</v>
      </c>
      <c r="P4" s="125">
        <f>P5+P9+P15+P19+P23+P30+P33</f>
        <v>0</v>
      </c>
      <c r="Q4" s="125">
        <f>Q5+Q9+Q15+Q19+Q23+Q30+Q33</f>
        <v>0</v>
      </c>
      <c r="R4" s="125">
        <f>R5+R9+R15+R19+R23+R30+R33</f>
        <v>0</v>
      </c>
      <c r="S4" s="125">
        <f t="shared" si="2"/>
        <v>230000</v>
      </c>
      <c r="T4" s="125">
        <f t="shared" si="2"/>
        <v>0</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205</v>
      </c>
      <c r="D5" s="78">
        <f t="shared" si="1"/>
        <v>143081524</v>
      </c>
      <c r="E5" s="12">
        <f>SUM(E6:E8)</f>
        <v>134906524</v>
      </c>
      <c r="F5" s="12">
        <f t="shared" ref="F5:W5" si="3">SUM(F6:F8)</f>
        <v>0</v>
      </c>
      <c r="G5" s="12">
        <f t="shared" si="3"/>
        <v>4350000</v>
      </c>
      <c r="H5" s="12">
        <f>SUM(H6:H8)</f>
        <v>0</v>
      </c>
      <c r="I5" s="12">
        <f t="shared" si="3"/>
        <v>2350000</v>
      </c>
      <c r="J5" s="12">
        <f t="shared" si="3"/>
        <v>1245000</v>
      </c>
      <c r="K5" s="12">
        <f t="shared" si="3"/>
        <v>0</v>
      </c>
      <c r="L5" s="12">
        <f>SUM(L6:L8)</f>
        <v>0</v>
      </c>
      <c r="M5" s="12">
        <f t="shared" si="3"/>
        <v>0</v>
      </c>
      <c r="N5" s="12">
        <f t="shared" si="3"/>
        <v>0</v>
      </c>
      <c r="O5" s="12">
        <f t="shared" si="3"/>
        <v>0</v>
      </c>
      <c r="P5" s="12">
        <f>SUM(P6:P8)</f>
        <v>0</v>
      </c>
      <c r="Q5" s="12">
        <f>SUM(Q6:Q8)</f>
        <v>0</v>
      </c>
      <c r="R5" s="12">
        <f>SUM(R6:R8)</f>
        <v>0</v>
      </c>
      <c r="S5" s="12">
        <f t="shared" si="3"/>
        <v>230000</v>
      </c>
      <c r="T5" s="12">
        <f t="shared" si="3"/>
        <v>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234</v>
      </c>
      <c r="D6" s="77">
        <f t="shared" si="1"/>
        <v>118956524</v>
      </c>
      <c r="E6" s="140">
        <f>SUMIFS('Plan rashoda za unos u SAP'!$I$3:$I$501,'Plan rashoda za unos u SAP'!$C$3:$C$501,"=11",'Plan rashoda za unos u SAP'!$M$3:$M$501,"=311")+SUMIFS('ANALITIKA EU PROJEKATA'!$G$3:$G$501,'ANALITIKA EU PROJEKATA'!$A$3:$A$501,"=11",'ANALITIKA EU PROJEKATA'!$P$3:$P$501,"=311")</f>
        <v>112406524</v>
      </c>
      <c r="F6" s="140">
        <f>SUMIFS('Plan rashoda za unos u SAP'!$I$3:$I$501,'Plan rashoda za unos u SAP'!$C$3:$C$501,"=12",'Plan rashoda za unos u SAP'!$M$3:$M$501,"=311")+SUMIFS('ANALITIKA EU PROJEKATA'!$G$3:$G$501,'ANALITIKA EU PROJEKATA'!$A$3:$A$501,"=12",'ANALITIKA EU PROJEKATA'!$P$3:$P$501,"=311")</f>
        <v>0</v>
      </c>
      <c r="G6" s="140">
        <f>SUMIFS('Plan rashoda za unos u SAP'!$I$3:$I$501,'Plan rashoda za unos u SAP'!$C$3:$C$501,"=31",'Plan rashoda za unos u SAP'!$M$3:$M$501,"=311")+SUMIFS('ANALITIKA EU PROJEKATA'!$G$3:$G$501,'ANALITIKA EU PROJEKATA'!$A$3:$A$501,"=31",'ANALITIKA EU PROJEKATA'!$P$3:$P$501,"=311")</f>
        <v>3300000</v>
      </c>
      <c r="H6" s="140">
        <f>SUMIFS('Plan rashoda za unos u SAP'!$I$3:$I$501,'Plan rashoda za unos u SAP'!$C$3:$C$501,"=41",'Plan rashoda za unos u SAP'!$M$3:$M$501,"=311")+SUMIFS('ANALITIKA EU PROJEKATA'!$G$3:$G$501,'ANALITIKA EU PROJEKATA'!$A$3:$A$501,"=41",'ANALITIKA EU PROJEKATA'!$P$3:$P$501,"=311")</f>
        <v>0</v>
      </c>
      <c r="I6" s="140">
        <f>SUMIFS('Plan rashoda za unos u SAP'!$I$3:$I$501,'Plan rashoda za unos u SAP'!$C$3:$C$501,"=43",'Plan rashoda za unos u SAP'!$M$3:$M$501,"=311")+SUMIFS('ANALITIKA EU PROJEKATA'!$G$3:$G$501,'ANALITIKA EU PROJEKATA'!$A$3:$A$501,"=43",'ANALITIKA EU PROJEKATA'!$P$3:$P$501,"=311")</f>
        <v>2000000</v>
      </c>
      <c r="J6" s="140">
        <f>SUMIFS('Plan rashoda za unos u SAP'!$I$3:$I$501,'Plan rashoda za unos u SAP'!$C$3:$C$501,"=51",'Plan rashoda za unos u SAP'!$M$3:$M$501,"=311")+SUMIFS('ANALITIKA EU PROJEKATA'!$G$3:$G$501,'ANALITIKA EU PROJEKATA'!$A$3:$A$501,"=51",'ANALITIKA EU PROJEKATA'!$P$3:$P$501,"=311")</f>
        <v>1050000</v>
      </c>
      <c r="K6" s="140">
        <f>SUMIFS('Plan rashoda za unos u SAP'!$I$3:$I$501,'Plan rashoda za unos u SAP'!$C$3:$C$501,"=52",'Plan rashoda za unos u SAP'!$M$3:$M$501,"=311")+SUMIFS('ANALITIKA EU PROJEKATA'!$G$3:$G$501,'ANALITIKA EU PROJEKATA'!$A$3:$A$501,"=52",'ANALITIKA EU PROJEKATA'!$P$3:$P$501,"=311")</f>
        <v>0</v>
      </c>
      <c r="L6" s="140">
        <f>SUMIFS('Plan rashoda za unos u SAP'!$I$3:$I$501,'Plan rashoda za unos u SAP'!$C$3:$C$501,"=552",'Plan rashoda za unos u SAP'!$M$3:$M$501,"=311")+SUMIFS('ANALITIKA EU PROJEKATA'!$G$3:$G$501,'ANALITIKA EU PROJEKATA'!$A$3:$A$501,"=552",'ANALITIKA EU PROJEKATA'!$P$3:$P$501,"=311")</f>
        <v>0</v>
      </c>
      <c r="M6" s="140">
        <f>SUMIFS('Plan rashoda za unos u SAP'!$I$3:$I$501,'Plan rashoda za unos u SAP'!$C$3:$C$501,"=559",'Plan rashoda za unos u SAP'!$M$3:$M$501,"=311")+SUMIFS('ANALITIKA EU PROJEKATA'!$G$3:$G$501,'ANALITIKA EU PROJEKATA'!$A$3:$A$501,"=559",'ANALITIKA EU PROJEKATA'!$P$3:$P$501,"=311")</f>
        <v>0</v>
      </c>
      <c r="N6" s="140">
        <f>SUMIFS('Plan rashoda za unos u SAP'!$I$3:$I$501,'Plan rashoda za unos u SAP'!$C$3:$C$501,"=561",'Plan rashoda za unos u SAP'!$M$3:$M$501,"=311")+SUMIFS('ANALITIKA EU PROJEKATA'!$G$3:$G$501,'ANALITIKA EU PROJEKATA'!$A$3:$A$501,"=561",'ANALITIKA EU PROJEKATA'!$P$3:$P$501,"=311")</f>
        <v>0</v>
      </c>
      <c r="O6" s="140">
        <f>SUMIFS('Plan rashoda za unos u SAP'!$I$3:$I$501,'Plan rashoda za unos u SAP'!$C$3:$C$501,"=563",'Plan rashoda za unos u SAP'!$M$3:$M$501,"=311")+SUMIFS('ANALITIKA EU PROJEKATA'!$G$3:$G$501,'ANALITIKA EU PROJEKATA'!$A$3:$A$501,"=563",'ANALITIKA EU PROJEKATA'!$P$3:$P$501,"=311")</f>
        <v>0</v>
      </c>
      <c r="P6" s="140">
        <f>SUMIFS('Plan rashoda za unos u SAP'!$I$3:$I$501,'Plan rashoda za unos u SAP'!$C$3:$C$501,"=573",'Plan rashoda za unos u SAP'!$M$3:$M$501,"=311")+SUMIFS('ANALITIKA EU PROJEKATA'!$G$3:$G$501,'ANALITIKA EU PROJEKATA'!$A$3:$A$501,"=573",'ANALITIKA EU PROJEKATA'!$P$3:$P$501,"=311")</f>
        <v>0</v>
      </c>
      <c r="Q6" s="140">
        <f>SUMIFS('Plan rashoda za unos u SAP'!$I$3:$I$501,'Plan rashoda za unos u SAP'!$C$3:$C$501,"=575",'Plan rashoda za unos u SAP'!$M$3:$M$501,"=311")+SUMIFS('ANALITIKA EU PROJEKATA'!$G$3:$G$501,'ANALITIKA EU PROJEKATA'!$A$3:$A$501,"=575",'ANALITIKA EU PROJEKATA'!$P$3:$P$501,"=311")</f>
        <v>0</v>
      </c>
      <c r="R6" s="140">
        <f>SUMIFS('Plan rashoda za unos u SAP'!$I$3:$I$501,'Plan rashoda za unos u SAP'!$C$3:$C$501,"=576",'Plan rashoda za unos u SAP'!$M$3:$M$501,"=311")+SUMIFS('ANALITIKA EU PROJEKATA'!$G$3:$G$501,'ANALITIKA EU PROJEKATA'!$A$3:$A$501,"=576",'ANALITIKA EU PROJEKATA'!$P$3:$P$501,"=311")</f>
        <v>0</v>
      </c>
      <c r="S6" s="140">
        <f>SUMIFS('Plan rashoda za unos u SAP'!$I$3:$I$501,'Plan rashoda za unos u SAP'!$C$3:$C$501,"=61",'Plan rashoda za unos u SAP'!$M$3:$M$501,"=311")+SUMIFS('ANALITIKA EU PROJEKATA'!$G$3:$G$501,'ANALITIKA EU PROJEKATA'!$A$3:$A$501,"=61",'ANALITIKA EU PROJEKATA'!$P$3:$P$501,"=311")</f>
        <v>200000</v>
      </c>
      <c r="T6" s="140">
        <f>SUMIFS('Plan rashoda za unos u SAP'!$I$3:$I$501,'Plan rashoda za unos u SAP'!$C$3:$C$501,"=63",'Plan rashoda za unos u SAP'!$M$3:$M$501,"=311")+SUMIFS('ANALITIKA EU PROJEKATA'!$G$3:$G$501,'ANALITIKA EU PROJEKATA'!$A$3:$A$501,"=63",'ANALITIKA EU PROJEKATA'!$P$3:$P$501,"=311")</f>
        <v>0</v>
      </c>
      <c r="U6" s="140">
        <f>SUMIFS('Plan rashoda za unos u SAP'!$I$3:$I$501,'Plan rashoda za unos u SAP'!$C$3:$C$501,"=71",'Plan rashoda za unos u SAP'!$M$3:$M$501,"=311")+SUMIFS('ANALITIKA EU PROJEKATA'!$G$3:$G$501,'ANALITIKA EU PROJEKATA'!$A$3:$A$501,"=71",'ANALITIKA EU PROJEKATA'!$P$3:$P$501,"=311")</f>
        <v>0</v>
      </c>
      <c r="V6" s="140">
        <f>SUMIFS('Plan rashoda za unos u SAP'!$I$3:$I$501,'Plan rashoda za unos u SAP'!$C$3:$C$501,"=81",'Plan rashoda za unos u SAP'!$M$3:$M$501,"=311")+SUMIFS('ANALITIKA EU PROJEKATA'!$G$3:$G$501,'ANALITIKA EU PROJEKATA'!$A$3:$A$501,"=81",'ANALITIKA EU PROJEKATA'!$P$3:$P$501,"=311")</f>
        <v>0</v>
      </c>
      <c r="W6" s="140">
        <f>SUMIFS('Plan rashoda za unos u SAP'!$I$3:$I$501,'Plan rashoda za unos u SAP'!$C$3:$C$501,"=83",'Plan rashoda za unos u SAP'!$M$3:$M$501,"=311")+SUMIFS('ANALITIKA EU PROJEKATA'!$G$3:$G$501,'ANALITIKA EU PROJEKATA'!$A$3:$A$501,"=83",'ANALITIKA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57</v>
      </c>
      <c r="D7" s="14">
        <f t="shared" si="1"/>
        <v>4050000</v>
      </c>
      <c r="E7" s="140">
        <f>SUMIFS('Plan rashoda za unos u SAP'!$I$3:$I$501,'Plan rashoda za unos u SAP'!$C$3:$C$501,"=11",'Plan rashoda za unos u SAP'!$M$3:$M$501,"=312")+SUMIFS('ANALITIKA EU PROJEKATA'!$G$3:$G$501,'ANALITIKA EU PROJEKATA'!$A$3:$A$501,"=11",'ANALITIKA EU PROJEKATA'!$P$3:$P$501,"=312")</f>
        <v>3500000</v>
      </c>
      <c r="F7" s="140">
        <f>SUMIFS('Plan rashoda za unos u SAP'!$I$3:$I$501,'Plan rashoda za unos u SAP'!$C$3:$C$501,"=12",'Plan rashoda za unos u SAP'!$M$3:$M$501,"=312")+SUMIFS('ANALITIKA EU PROJEKATA'!$G$3:$G$501,'ANALITIKA EU PROJEKATA'!$A$3:$A$501,"=12",'ANALITIKA EU PROJEKATA'!$P$3:$P$501,"=312")</f>
        <v>0</v>
      </c>
      <c r="G7" s="140">
        <f>SUMIFS('Plan rashoda za unos u SAP'!$I$3:$I$501,'Plan rashoda za unos u SAP'!$C$3:$C$501,"=31",'Plan rashoda za unos u SAP'!$M$3:$M$501,"=312")+SUMIFS('ANALITIKA EU PROJEKATA'!$G$3:$G$501,'ANALITIKA EU PROJEKATA'!$A$3:$A$501,"=31",'ANALITIKA EU PROJEKATA'!$P$3:$P$501,"=312")</f>
        <v>450000</v>
      </c>
      <c r="H7" s="140">
        <f>SUMIFS('Plan rashoda za unos u SAP'!$I$3:$I$501,'Plan rashoda za unos u SAP'!$C$3:$C$501,"=41",'Plan rashoda za unos u SAP'!$M$3:$M$501,"=312")+SUMIFS('ANALITIKA EU PROJEKATA'!$G$3:$G$501,'ANALITIKA EU PROJEKATA'!$A$3:$A$501,"=41",'ANALITIKA EU PROJEKATA'!$P$3:$P$501,"=312")</f>
        <v>0</v>
      </c>
      <c r="I7" s="140">
        <f>SUMIFS('Plan rashoda za unos u SAP'!$I$3:$I$501,'Plan rashoda za unos u SAP'!$C$3:$C$501,"=43",'Plan rashoda za unos u SAP'!$M$3:$M$501,"=312")+SUMIFS('ANALITIKA EU PROJEKATA'!$G$3:$G$501,'ANALITIKA EU PROJEKATA'!$A$3:$A$501,"=43",'ANALITIKA EU PROJEKATA'!$P$3:$P$501,"=312")</f>
        <v>100000</v>
      </c>
      <c r="J7" s="140">
        <f>SUMIFS('Plan rashoda za unos u SAP'!$I$3:$I$501,'Plan rashoda za unos u SAP'!$C$3:$C$501,"=51",'Plan rashoda za unos u SAP'!$M$3:$M$501,"=312")+SUMIFS('ANALITIKA EU PROJEKATA'!$G$3:$G$501,'ANALITIKA EU PROJEKATA'!$A$3:$A$501,"=51",'ANALITIKA EU PROJEKATA'!$P$3:$P$501,"=312")</f>
        <v>0</v>
      </c>
      <c r="K7" s="140">
        <f>SUMIFS('Plan rashoda za unos u SAP'!$I$3:$I$501,'Plan rashoda za unos u SAP'!$C$3:$C$501,"=52",'Plan rashoda za unos u SAP'!$M$3:$M$501,"=312")+SUMIFS('ANALITIKA EU PROJEKATA'!$G$3:$G$501,'ANALITIKA EU PROJEKATA'!$A$3:$A$501,"=52",'ANALITIKA EU PROJEKATA'!$P$3:$P$501,"=312")</f>
        <v>0</v>
      </c>
      <c r="L7" s="140">
        <f>SUMIFS('Plan rashoda za unos u SAP'!$I$3:$I$501,'Plan rashoda za unos u SAP'!$C$3:$C$501,"=552",'Plan rashoda za unos u SAP'!$M$3:$M$501,"=312")+SUMIFS('ANALITIKA EU PROJEKATA'!$G$3:$G$501,'ANALITIKA EU PROJEKATA'!$A$3:$A$501,"=552",'ANALITIKA EU PROJEKATA'!$P$3:$P$501,"=312")</f>
        <v>0</v>
      </c>
      <c r="M7" s="140">
        <f>SUMIFS('Plan rashoda za unos u SAP'!$I$3:$I$501,'Plan rashoda za unos u SAP'!$C$3:$C$501,"=559",'Plan rashoda za unos u SAP'!$M$3:$M$501,"=312")+SUMIFS('ANALITIKA EU PROJEKATA'!$G$3:$G$501,'ANALITIKA EU PROJEKATA'!$A$3:$A$501,"=559",'ANALITIKA EU PROJEKATA'!$P$3:$P$501,"=312")</f>
        <v>0</v>
      </c>
      <c r="N7" s="140">
        <f>SUMIFS('Plan rashoda za unos u SAP'!$I$3:$I$501,'Plan rashoda za unos u SAP'!$C$3:$C$501,"=561",'Plan rashoda za unos u SAP'!$M$3:$M$501,"=312")+SUMIFS('ANALITIKA EU PROJEKATA'!$G$3:$G$501,'ANALITIKA EU PROJEKATA'!$A$3:$A$501,"=561",'ANALITIKA EU PROJEKATA'!$P$3:$P$501,"=312")</f>
        <v>0</v>
      </c>
      <c r="O7" s="140">
        <f>SUMIFS('Plan rashoda za unos u SAP'!$I$3:$I$501,'Plan rashoda za unos u SAP'!$C$3:$C$501,"=563",'Plan rashoda za unos u SAP'!$M$3:$M$501,"=312")+SUMIFS('ANALITIKA EU PROJEKATA'!$G$3:$G$501,'ANALITIKA EU PROJEKATA'!$A$3:$A$501,"=563",'ANALITIKA EU PROJEKATA'!$P$3:$P$501,"=312")</f>
        <v>0</v>
      </c>
      <c r="P7" s="140">
        <f>SUMIFS('Plan rashoda za unos u SAP'!$I$3:$I$501,'Plan rashoda za unos u SAP'!$C$3:$C$501,"=573",'Plan rashoda za unos u SAP'!$M$3:$M$501,"=312")+SUMIFS('ANALITIKA EU PROJEKATA'!$G$3:$G$501,'ANALITIKA EU PROJEKATA'!$A$3:$A$501,"=573",'ANALITIKA EU PROJEKATA'!$P$3:$P$501,"=312")</f>
        <v>0</v>
      </c>
      <c r="Q7" s="140">
        <f>SUMIFS('Plan rashoda za unos u SAP'!$I$3:$I$501,'Plan rashoda za unos u SAP'!$C$3:$C$501,"=575",'Plan rashoda za unos u SAP'!$M$3:$M$501,"=312")+SUMIFS('ANALITIKA EU PROJEKATA'!$G$3:$G$501,'ANALITIKA EU PROJEKATA'!$A$3:$A$501,"=575",'ANALITIKA EU PROJEKATA'!$P$3:$P$501,"=312")</f>
        <v>0</v>
      </c>
      <c r="R7" s="140">
        <f>SUMIFS('Plan rashoda za unos u SAP'!$I$3:$I$501,'Plan rashoda za unos u SAP'!$C$3:$C$501,"=576",'Plan rashoda za unos u SAP'!$M$3:$M$501,"=312")+SUMIFS('ANALITIKA EU PROJEKATA'!$G$3:$G$501,'ANALITIKA EU PROJEKATA'!$A$3:$A$501,"=576",'ANALITIKA EU PROJEKATA'!$P$3:$P$501,"=312")</f>
        <v>0</v>
      </c>
      <c r="S7" s="140">
        <f>SUMIFS('Plan rashoda za unos u SAP'!$I$3:$I$501,'Plan rashoda za unos u SAP'!$C$3:$C$501,"=61",'Plan rashoda za unos u SAP'!$M$3:$M$501,"=312")+SUMIFS('ANALITIKA EU PROJEKATA'!$G$3:$G$501,'ANALITIKA EU PROJEKATA'!$A$3:$A$501,"=61",'ANALITIKA EU PROJEKATA'!$P$3:$P$501,"=312")</f>
        <v>0</v>
      </c>
      <c r="T7" s="140">
        <f>SUMIFS('Plan rashoda za unos u SAP'!$I$3:$I$501,'Plan rashoda za unos u SAP'!$C$3:$C$501,"=63",'Plan rashoda za unos u SAP'!$M$3:$M$501,"=312")+SUMIFS('ANALITIKA EU PROJEKATA'!$G$3:$G$501,'ANALITIKA EU PROJEKATA'!$A$3:$A$501,"=63",'ANALITIKA EU PROJEKATA'!$P$3:$P$501,"=312")</f>
        <v>0</v>
      </c>
      <c r="U7" s="140">
        <f>SUMIFS('Plan rashoda za unos u SAP'!$I$3:$I$501,'Plan rashoda za unos u SAP'!$C$3:$C$501,"=71",'Plan rashoda za unos u SAP'!$M$3:$M$501,"=312")+SUMIFS('ANALITIKA EU PROJEKATA'!$G$3:$G$501,'ANALITIKA EU PROJEKATA'!$A$3:$A$501,"=71",'ANALITIKA EU PROJEKATA'!$P$3:$P$501,"=312")</f>
        <v>0</v>
      </c>
      <c r="V7" s="140">
        <f>SUMIFS('Plan rashoda za unos u SAP'!$I$3:$I$501,'Plan rashoda za unos u SAP'!$C$3:$C$501,"=81",'Plan rashoda za unos u SAP'!$M$3:$M$501,"=312")+SUMIFS('ANALITIKA EU PROJEKATA'!$G$3:$G$501,'ANALITIKA EU PROJEKATA'!$A$3:$A$501,"=81",'ANALITIKA EU PROJEKATA'!$P$3:$P$501,"=312")</f>
        <v>0</v>
      </c>
      <c r="W7" s="140">
        <f>SUMIFS('Plan rashoda za unos u SAP'!$I$3:$I$501,'Plan rashoda za unos u SAP'!$C$3:$C$501,"=83",'Plan rashoda za unos u SAP'!$M$3:$M$501,"=312")+SUMIFS('ANALITIKA EU PROJEKATA'!$G$3:$G$501,'ANALITIKA EU PROJEKATA'!$A$3:$A$501,"=83",'ANALITIKA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262</v>
      </c>
      <c r="D8" s="14">
        <f t="shared" si="1"/>
        <v>20075000</v>
      </c>
      <c r="E8" s="140">
        <f>SUMIFS('Plan rashoda za unos u SAP'!$I$3:$I$501,'Plan rashoda za unos u SAP'!$C$3:$C$501,"=11",'Plan rashoda za unos u SAP'!$M$3:$M$501,"=313")+SUMIFS('ANALITIKA EU PROJEKATA'!$G$3:$G$501,'ANALITIKA EU PROJEKATA'!$A$3:$A$501,"=11",'ANALITIKA EU PROJEKATA'!$P$3:$P$501,"=313")</f>
        <v>19000000</v>
      </c>
      <c r="F8" s="140">
        <f>SUMIFS('Plan rashoda za unos u SAP'!$I$3:$I$501,'Plan rashoda za unos u SAP'!$C$3:$C$501,"=12",'Plan rashoda za unos u SAP'!$M$3:$M$501,"=313")+SUMIFS('ANALITIKA EU PROJEKATA'!$G$3:$G$501,'ANALITIKA EU PROJEKATA'!$A$3:$A$501,"=12",'ANALITIKA EU PROJEKATA'!$P$3:$P$501,"=313")</f>
        <v>0</v>
      </c>
      <c r="G8" s="140">
        <f>SUMIFS('Plan rashoda za unos u SAP'!$I$3:$I$501,'Plan rashoda za unos u SAP'!$C$3:$C$501,"=31",'Plan rashoda za unos u SAP'!$M$3:$M$501,"=313")+SUMIFS('ANALITIKA EU PROJEKATA'!$G$3:$G$501,'ANALITIKA EU PROJEKATA'!$A$3:$A$501,"=31",'ANALITIKA EU PROJEKATA'!$P$3:$P$501,"=313")</f>
        <v>600000</v>
      </c>
      <c r="H8" s="140">
        <f>SUMIFS('Plan rashoda za unos u SAP'!$I$3:$I$501,'Plan rashoda za unos u SAP'!$C$3:$C$501,"=41",'Plan rashoda za unos u SAP'!$M$3:$M$501,"=313")+SUMIFS('ANALITIKA EU PROJEKATA'!$G$3:$G$501,'ANALITIKA EU PROJEKATA'!$A$3:$A$501,"=41",'ANALITIKA EU PROJEKATA'!$P$3:$P$501,"=313")</f>
        <v>0</v>
      </c>
      <c r="I8" s="140">
        <f>SUMIFS('Plan rashoda za unos u SAP'!$I$3:$I$501,'Plan rashoda za unos u SAP'!$C$3:$C$501,"=43",'Plan rashoda za unos u SAP'!$M$3:$M$501,"=313")+SUMIFS('ANALITIKA EU PROJEKATA'!$G$3:$G$501,'ANALITIKA EU PROJEKATA'!$A$3:$A$501,"=43",'ANALITIKA EU PROJEKATA'!$P$3:$P$501,"=313")</f>
        <v>250000</v>
      </c>
      <c r="J8" s="140">
        <f>SUMIFS('Plan rashoda za unos u SAP'!$I$3:$I$501,'Plan rashoda za unos u SAP'!$C$3:$C$501,"=51",'Plan rashoda za unos u SAP'!$M$3:$M$501,"=313")+SUMIFS('ANALITIKA EU PROJEKATA'!$G$3:$G$501,'ANALITIKA EU PROJEKATA'!$A$3:$A$501,"=51",'ANALITIKA EU PROJEKATA'!$P$3:$P$501,"=313")</f>
        <v>195000</v>
      </c>
      <c r="K8" s="140">
        <f>SUMIFS('Plan rashoda za unos u SAP'!$I$3:$I$501,'Plan rashoda za unos u SAP'!$C$3:$C$501,"=52",'Plan rashoda za unos u SAP'!$M$3:$M$501,"=313")+SUMIFS('ANALITIKA EU PROJEKATA'!$G$3:$G$501,'ANALITIKA EU PROJEKATA'!$A$3:$A$501,"=52",'ANALITIKA EU PROJEKATA'!$P$3:$P$501,"=313")</f>
        <v>0</v>
      </c>
      <c r="L8" s="140">
        <f>SUMIFS('Plan rashoda za unos u SAP'!$I$3:$I$501,'Plan rashoda za unos u SAP'!$C$3:$C$501,"=552",'Plan rashoda za unos u SAP'!$M$3:$M$501,"=313")+SUMIFS('ANALITIKA EU PROJEKATA'!$G$3:$G$501,'ANALITIKA EU PROJEKATA'!$A$3:$A$501,"=552",'ANALITIKA EU PROJEKATA'!$P$3:$P$501,"=313")</f>
        <v>0</v>
      </c>
      <c r="M8" s="140">
        <f>SUMIFS('Plan rashoda za unos u SAP'!$I$3:$I$501,'Plan rashoda za unos u SAP'!$C$3:$C$501,"=559",'Plan rashoda za unos u SAP'!$M$3:$M$501,"=313")+SUMIFS('ANALITIKA EU PROJEKATA'!$G$3:$G$501,'ANALITIKA EU PROJEKATA'!$A$3:$A$501,"=559",'ANALITIKA EU PROJEKATA'!$P$3:$P$501,"=313")</f>
        <v>0</v>
      </c>
      <c r="N8" s="140">
        <f>SUMIFS('Plan rashoda za unos u SAP'!$I$3:$I$501,'Plan rashoda za unos u SAP'!$C$3:$C$501,"=561",'Plan rashoda za unos u SAP'!$M$3:$M$501,"=313")+SUMIFS('ANALITIKA EU PROJEKATA'!$G$3:$G$501,'ANALITIKA EU PROJEKATA'!$A$3:$A$501,"=561",'ANALITIKA EU PROJEKATA'!$P$3:$P$501,"=313")</f>
        <v>0</v>
      </c>
      <c r="O8" s="140">
        <f>SUMIFS('Plan rashoda za unos u SAP'!$I$3:$I$501,'Plan rashoda za unos u SAP'!$C$3:$C$501,"=563",'Plan rashoda za unos u SAP'!$M$3:$M$501,"=313")+SUMIFS('ANALITIKA EU PROJEKATA'!$G$3:$G$501,'ANALITIKA EU PROJEKATA'!$A$3:$A$501,"=563",'ANALITIKA EU PROJEKATA'!$P$3:$P$501,"=313")</f>
        <v>0</v>
      </c>
      <c r="P8" s="140">
        <f>SUMIFS('Plan rashoda za unos u SAP'!$I$3:$I$501,'Plan rashoda za unos u SAP'!$C$3:$C$501,"=573",'Plan rashoda za unos u SAP'!$M$3:$M$501,"=313")+SUMIFS('ANALITIKA EU PROJEKATA'!$G$3:$G$501,'ANALITIKA EU PROJEKATA'!$A$3:$A$501,"=573",'ANALITIKA EU PROJEKATA'!$P$3:$P$501,"=313")</f>
        <v>0</v>
      </c>
      <c r="Q8" s="140">
        <f>SUMIFS('Plan rashoda za unos u SAP'!$I$3:$I$501,'Plan rashoda za unos u SAP'!$C$3:$C$501,"=575",'Plan rashoda za unos u SAP'!$M$3:$M$501,"=313")+SUMIFS('ANALITIKA EU PROJEKATA'!$G$3:$G$501,'ANALITIKA EU PROJEKATA'!$A$3:$A$501,"=575",'ANALITIKA EU PROJEKATA'!$P$3:$P$501,"=313")</f>
        <v>0</v>
      </c>
      <c r="R8" s="140">
        <f>SUMIFS('Plan rashoda za unos u SAP'!$I$3:$I$501,'Plan rashoda za unos u SAP'!$C$3:$C$501,"=576",'Plan rashoda za unos u SAP'!$M$3:$M$501,"=313")+SUMIFS('ANALITIKA EU PROJEKATA'!$G$3:$G$501,'ANALITIKA EU PROJEKATA'!$A$3:$A$501,"=576",'ANALITIKA EU PROJEKATA'!$P$3:$P$501,"=313")</f>
        <v>0</v>
      </c>
      <c r="S8" s="140">
        <f>SUMIFS('Plan rashoda za unos u SAP'!$I$3:$I$501,'Plan rashoda za unos u SAP'!$C$3:$C$501,"=61",'Plan rashoda za unos u SAP'!$M$3:$M$501,"=313")+SUMIFS('ANALITIKA EU PROJEKATA'!$G$3:$G$501,'ANALITIKA EU PROJEKATA'!$A$3:$A$501,"=61",'ANALITIKA EU PROJEKATA'!$P$3:$P$501,"=313")</f>
        <v>30000</v>
      </c>
      <c r="T8" s="140">
        <f>SUMIFS('Plan rashoda za unos u SAP'!$I$3:$I$501,'Plan rashoda za unos u SAP'!$C$3:$C$501,"=63",'Plan rashoda za unos u SAP'!$M$3:$M$501,"=313")+SUMIFS('ANALITIKA EU PROJEKATA'!$G$3:$G$501,'ANALITIKA EU PROJEKATA'!$A$3:$A$501,"=63",'ANALITIKA EU PROJEKATA'!$P$3:$P$501,"=313")</f>
        <v>0</v>
      </c>
      <c r="U8" s="140">
        <f>SUMIFS('Plan rashoda za unos u SAP'!$I$3:$I$501,'Plan rashoda za unos u SAP'!$C$3:$C$501,"=71",'Plan rashoda za unos u SAP'!$M$3:$M$501,"=313")+SUMIFS('ANALITIKA EU PROJEKATA'!$G$3:$G$501,'ANALITIKA EU PROJEKATA'!$A$3:$A$501,"=71",'ANALITIKA EU PROJEKATA'!$P$3:$P$501,"=313")</f>
        <v>0</v>
      </c>
      <c r="V8" s="140">
        <f>SUMIFS('Plan rashoda za unos u SAP'!$I$3:$I$501,'Plan rashoda za unos u SAP'!$C$3:$C$501,"=81",'Plan rashoda za unos u SAP'!$M$3:$M$501,"=313")+SUMIFS('ANALITIKA EU PROJEKATA'!$G$3:$G$501,'ANALITIKA EU PROJEKATA'!$A$3:$A$501,"=81",'ANALITIKA EU PROJEKATA'!$P$3:$P$501,"=313")</f>
        <v>0</v>
      </c>
      <c r="W8" s="140">
        <f>SUMIFS('Plan rashoda za unos u SAP'!$I$3:$I$501,'Plan rashoda za unos u SAP'!$C$3:$C$501,"=83",'Plan rashoda za unos u SAP'!$M$3:$M$501,"=313")+SUMIFS('ANALITIKA EU PROJEKATA'!$G$3:$G$501,'ANALITIKA EU PROJEKATA'!$A$3:$A$501,"=83",'ANALITIKA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206</v>
      </c>
      <c r="D9" s="4">
        <f t="shared" si="1"/>
        <v>27116728</v>
      </c>
      <c r="E9" s="78">
        <f t="shared" ref="E9:W9" si="4">SUM(E10:E14)</f>
        <v>16970000</v>
      </c>
      <c r="F9" s="78">
        <f t="shared" si="4"/>
        <v>0</v>
      </c>
      <c r="G9" s="78">
        <f>SUM(G10:G14)</f>
        <v>4430000</v>
      </c>
      <c r="H9" s="78">
        <f>SUM(H10:H14)</f>
        <v>0</v>
      </c>
      <c r="I9" s="78">
        <f t="shared" si="4"/>
        <v>3450000</v>
      </c>
      <c r="J9" s="78">
        <f t="shared" si="4"/>
        <v>2266728</v>
      </c>
      <c r="K9" s="78">
        <f t="shared" si="4"/>
        <v>0</v>
      </c>
      <c r="L9" s="78">
        <f>SUM(L10:L14)</f>
        <v>0</v>
      </c>
      <c r="M9" s="78">
        <f t="shared" si="4"/>
        <v>0</v>
      </c>
      <c r="N9" s="78">
        <f t="shared" si="4"/>
        <v>0</v>
      </c>
      <c r="O9" s="78">
        <f t="shared" si="4"/>
        <v>0</v>
      </c>
      <c r="P9" s="78">
        <f>SUM(P10:P14)</f>
        <v>0</v>
      </c>
      <c r="Q9" s="78">
        <f>SUM(Q10:Q14)</f>
        <v>0</v>
      </c>
      <c r="R9" s="78">
        <f>SUM(R10:R14)</f>
        <v>0</v>
      </c>
      <c r="S9" s="78">
        <f t="shared" si="4"/>
        <v>0</v>
      </c>
      <c r="T9" s="78">
        <f t="shared" si="4"/>
        <v>0</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207</v>
      </c>
      <c r="D10" s="14">
        <f t="shared" si="1"/>
        <v>6353712</v>
      </c>
      <c r="E10" s="140">
        <f>SUMIFS('Plan rashoda za unos u SAP'!$I$3:$I$501,'Plan rashoda za unos u SAP'!$C$3:$C$501,"=11",'Plan rashoda za unos u SAP'!$M$3:$M$501,"=321")+SUMIFS('ANALITIKA EU PROJEKATA'!$G$3:$G$501,'ANALITIKA EU PROJEKATA'!$A$3:$A$501,"=11",'ANALITIKA EU PROJEKATA'!$P$3:$P$501,"=321")</f>
        <v>3000000</v>
      </c>
      <c r="F10" s="140">
        <f>SUMIFS('Plan rashoda za unos u SAP'!$I$3:$I$501,'Plan rashoda za unos u SAP'!$C$3:$C$501,"=12",'Plan rashoda za unos u SAP'!$M$3:$M$501,"=321")+SUMIFS('ANALITIKA EU PROJEKATA'!$G$3:$G$501,'ANALITIKA EU PROJEKATA'!$A$3:$A$501,"=12",'ANALITIKA EU PROJEKATA'!$P$3:$P$501,"=321")</f>
        <v>0</v>
      </c>
      <c r="G10" s="140">
        <f>SUMIFS('Plan rashoda za unos u SAP'!$I$3:$I$501,'Plan rashoda za unos u SAP'!$C$3:$C$501,"=31",'Plan rashoda za unos u SAP'!$M$3:$M$501,"=321")+SUMIFS('ANALITIKA EU PROJEKATA'!$G$3:$G$501,'ANALITIKA EU PROJEKATA'!$A$3:$A$501,"=31",'ANALITIKA EU PROJEKATA'!$P$3:$P$501,"=321")</f>
        <v>350000</v>
      </c>
      <c r="H10" s="140">
        <f>SUMIFS('Plan rashoda za unos u SAP'!$I$3:$I$501,'Plan rashoda za unos u SAP'!$C$3:$C$501,"=41",'Plan rashoda za unos u SAP'!$M$3:$M$501,"=321")+SUMIFS('ANALITIKA EU PROJEKATA'!$G$3:$G$501,'ANALITIKA EU PROJEKATA'!$A$3:$A$501,"=41",'ANALITIKA EU PROJEKATA'!$P$3:$P$501,"=321")</f>
        <v>0</v>
      </c>
      <c r="I10" s="140">
        <f>SUMIFS('Plan rashoda za unos u SAP'!$I$3:$I$501,'Plan rashoda za unos u SAP'!$C$3:$C$501,"=43",'Plan rashoda za unos u SAP'!$M$3:$M$501,"=321")+SUMIFS('ANALITIKA EU PROJEKATA'!$G$3:$G$501,'ANALITIKA EU PROJEKATA'!$A$3:$A$501,"=43",'ANALITIKA EU PROJEKATA'!$P$3:$P$501,"=321")</f>
        <v>1050000</v>
      </c>
      <c r="J10" s="140">
        <f>SUMIFS('Plan rashoda za unos u SAP'!$I$3:$I$501,'Plan rashoda za unos u SAP'!$C$3:$C$501,"=51",'Plan rashoda za unos u SAP'!$M$3:$M$501,"=321")+SUMIFS('ANALITIKA EU PROJEKATA'!$G$3:$G$501,'ANALITIKA EU PROJEKATA'!$A$3:$A$501,"=51",'ANALITIKA EU PROJEKATA'!$P$3:$P$501,"=321")</f>
        <v>1953712</v>
      </c>
      <c r="K10" s="140">
        <f>SUMIFS('Plan rashoda za unos u SAP'!$I$3:$I$501,'Plan rashoda za unos u SAP'!$C$3:$C$501,"=52",'Plan rashoda za unos u SAP'!$M$3:$M$501,"=321")+SUMIFS('ANALITIKA EU PROJEKATA'!$G$3:$G$501,'ANALITIKA EU PROJEKATA'!$A$3:$A$501,"=52",'ANALITIKA EU PROJEKATA'!$P$3:$P$501,"=321")</f>
        <v>0</v>
      </c>
      <c r="L10" s="140">
        <f>SUMIFS('Plan rashoda za unos u SAP'!$I$3:$I$501,'Plan rashoda za unos u SAP'!$C$3:$C$501,"=552",'Plan rashoda za unos u SAP'!$M$3:$M$501,"=321")+SUMIFS('ANALITIKA EU PROJEKATA'!$G$3:$G$501,'ANALITIKA EU PROJEKATA'!$A$3:$A$501,"=552",'ANALITIKA EU PROJEKATA'!$P$3:$P$501,"=321")</f>
        <v>0</v>
      </c>
      <c r="M10" s="140">
        <f>SUMIFS('Plan rashoda za unos u SAP'!$I$3:$I$501,'Plan rashoda za unos u SAP'!$C$3:$C$501,"=559",'Plan rashoda za unos u SAP'!$M$3:$M$501,"=321")+SUMIFS('ANALITIKA EU PROJEKATA'!$G$3:$G$501,'ANALITIKA EU PROJEKATA'!$A$3:$A$501,"=559",'ANALITIKA EU PROJEKATA'!$P$3:$P$501,"=321")</f>
        <v>0</v>
      </c>
      <c r="N10" s="140">
        <f>SUMIFS('Plan rashoda za unos u SAP'!$I$3:$I$501,'Plan rashoda za unos u SAP'!$C$3:$C$501,"=561",'Plan rashoda za unos u SAP'!$M$3:$M$501,"=321")+SUMIFS('ANALITIKA EU PROJEKATA'!$G$3:$G$501,'ANALITIKA EU PROJEKATA'!$A$3:$A$501,"=561",'ANALITIKA EU PROJEKATA'!$P$3:$P$501,"=321")</f>
        <v>0</v>
      </c>
      <c r="O10" s="140">
        <f>SUMIFS('Plan rashoda za unos u SAP'!$I$3:$I$501,'Plan rashoda za unos u SAP'!$C$3:$C$501,"=563",'Plan rashoda za unos u SAP'!$M$3:$M$501,"=321")+SUMIFS('ANALITIKA EU PROJEKATA'!$G$3:$G$501,'ANALITIKA EU PROJEKATA'!$A$3:$A$501,"=563",'ANALITIKA EU PROJEKATA'!$P$3:$P$501,"=321")</f>
        <v>0</v>
      </c>
      <c r="P10" s="140">
        <f>SUMIFS('Plan rashoda za unos u SAP'!$I$3:$I$501,'Plan rashoda za unos u SAP'!$C$3:$C$501,"=573",'Plan rashoda za unos u SAP'!$M$3:$M$501,"=321")+SUMIFS('ANALITIKA EU PROJEKATA'!$G$3:$G$501,'ANALITIKA EU PROJEKATA'!$A$3:$A$501,"=573",'ANALITIKA EU PROJEKATA'!$P$3:$P$501,"=321")</f>
        <v>0</v>
      </c>
      <c r="Q10" s="140">
        <f>SUMIFS('Plan rashoda za unos u SAP'!$I$3:$I$501,'Plan rashoda za unos u SAP'!$C$3:$C$501,"=575",'Plan rashoda za unos u SAP'!$M$3:$M$501,"=321")+SUMIFS('ANALITIKA EU PROJEKATA'!$G$3:$G$501,'ANALITIKA EU PROJEKATA'!$A$3:$A$501,"=575",'ANALITIKA EU PROJEKATA'!$P$3:$P$501,"=321")</f>
        <v>0</v>
      </c>
      <c r="R10" s="140">
        <f>SUMIFS('Plan rashoda za unos u SAP'!$I$3:$I$501,'Plan rashoda za unos u SAP'!$C$3:$C$501,"=576",'Plan rashoda za unos u SAP'!$M$3:$M$501,"=321")+SUMIFS('ANALITIKA EU PROJEKATA'!$G$3:$G$501,'ANALITIKA EU PROJEKATA'!$A$3:$A$501,"=576",'ANALITIKA EU PROJEKATA'!$P$3:$P$501,"=321")</f>
        <v>0</v>
      </c>
      <c r="S10" s="140">
        <f>SUMIFS('Plan rashoda za unos u SAP'!$I$3:$I$501,'Plan rashoda za unos u SAP'!$C$3:$C$501,"=61",'Plan rashoda za unos u SAP'!$M$3:$M$501,"=321")+SUMIFS('ANALITIKA EU PROJEKATA'!$G$3:$G$501,'ANALITIKA EU PROJEKATA'!$A$3:$A$501,"=61",'ANALITIKA EU PROJEKATA'!$P$3:$P$501,"=321")</f>
        <v>0</v>
      </c>
      <c r="T10" s="140">
        <f>SUMIFS('Plan rashoda za unos u SAP'!$I$3:$I$501,'Plan rashoda za unos u SAP'!$C$3:$C$501,"=63",'Plan rashoda za unos u SAP'!$M$3:$M$501,"=321")+SUMIFS('ANALITIKA EU PROJEKATA'!$G$3:$G$501,'ANALITIKA EU PROJEKATA'!$A$3:$A$501,"=63",'ANALITIKA EU PROJEKATA'!$P$3:$P$501,"=321")</f>
        <v>0</v>
      </c>
      <c r="U10" s="140">
        <f>SUMIFS('Plan rashoda za unos u SAP'!$I$3:$I$501,'Plan rashoda za unos u SAP'!$C$3:$C$501,"=71",'Plan rashoda za unos u SAP'!$M$3:$M$501,"=321")+SUMIFS('ANALITIKA EU PROJEKATA'!$G$3:$G$501,'ANALITIKA EU PROJEKATA'!$A$3:$A$501,"=71",'ANALITIKA EU PROJEKATA'!$P$3:$P$501,"=321")</f>
        <v>0</v>
      </c>
      <c r="V10" s="140">
        <f>SUMIFS('Plan rashoda za unos u SAP'!$I$3:$I$501,'Plan rashoda za unos u SAP'!$C$3:$C$501,"=81",'Plan rashoda za unos u SAP'!$M$3:$M$501,"=321")+SUMIFS('ANALITIKA EU PROJEKATA'!$G$3:$G$501,'ANALITIKA EU PROJEKATA'!$A$3:$A$501,"=81",'ANALITIKA EU PROJEKATA'!$P$3:$P$501,"=321")</f>
        <v>0</v>
      </c>
      <c r="W10" s="140">
        <f>SUMIFS('Plan rashoda za unos u SAP'!$I$3:$I$501,'Plan rashoda za unos u SAP'!$C$3:$C$501,"=83",'Plan rashoda za unos u SAP'!$M$3:$M$501,"=321")+SUMIFS('ANALITIKA EU PROJEKATA'!$G$3:$G$501,'ANALITIKA EU PROJEKATA'!$A$3:$A$501,"=83",'ANALITIKA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208</v>
      </c>
      <c r="D11" s="14">
        <f t="shared" si="1"/>
        <v>7750000</v>
      </c>
      <c r="E11" s="140">
        <f>SUMIFS('Plan rashoda za unos u SAP'!$I$3:$I$501,'Plan rashoda za unos u SAP'!$C$3:$C$501,"=11",'Plan rashoda za unos u SAP'!$M$3:$M$501,"=322")+SUMIFS('ANALITIKA EU PROJEKATA'!$G$3:$G$501,'ANALITIKA EU PROJEKATA'!$A$3:$A$501,"=11",'ANALITIKA EU PROJEKATA'!$P$3:$P$501,"=322")</f>
        <v>7300000</v>
      </c>
      <c r="F11" s="140">
        <f>SUMIFS('Plan rashoda za unos u SAP'!$I$3:$I$501,'Plan rashoda za unos u SAP'!$C$3:$C$501,"=12",'Plan rashoda za unos u SAP'!$M$3:$M$501,"=322")+SUMIFS('ANALITIKA EU PROJEKATA'!$G$3:$G$501,'ANALITIKA EU PROJEKATA'!$A$3:$A$501,"=12",'ANALITIKA EU PROJEKATA'!$P$3:$P$501,"=322")</f>
        <v>0</v>
      </c>
      <c r="G11" s="140">
        <f>SUMIFS('Plan rashoda za unos u SAP'!$I$3:$I$501,'Plan rashoda za unos u SAP'!$C$3:$C$501,"=31",'Plan rashoda za unos u SAP'!$M$3:$M$501,"=322")+SUMIFS('ANALITIKA EU PROJEKATA'!$G$3:$G$501,'ANALITIKA EU PROJEKATA'!$A$3:$A$501,"=31",'ANALITIKA EU PROJEKATA'!$P$3:$P$501,"=322")</f>
        <v>150000</v>
      </c>
      <c r="H11" s="140">
        <f>SUMIFS('Plan rashoda za unos u SAP'!$I$3:$I$501,'Plan rashoda za unos u SAP'!$C$3:$C$501,"=41",'Plan rashoda za unos u SAP'!$M$3:$M$501,"=322")+SUMIFS('ANALITIKA EU PROJEKATA'!$G$3:$G$501,'ANALITIKA EU PROJEKATA'!$A$3:$A$501,"=41",'ANALITIKA EU PROJEKATA'!$P$3:$P$501,"=322")</f>
        <v>0</v>
      </c>
      <c r="I11" s="140">
        <f>SUMIFS('Plan rashoda za unos u SAP'!$I$3:$I$501,'Plan rashoda za unos u SAP'!$C$3:$C$501,"=43",'Plan rashoda za unos u SAP'!$M$3:$M$501,"=322")+SUMIFS('ANALITIKA EU PROJEKATA'!$G$3:$G$501,'ANALITIKA EU PROJEKATA'!$A$3:$A$501,"=43",'ANALITIKA EU PROJEKATA'!$P$3:$P$501,"=322")</f>
        <v>300000</v>
      </c>
      <c r="J11" s="140">
        <f>SUMIFS('Plan rashoda za unos u SAP'!$I$3:$I$501,'Plan rashoda za unos u SAP'!$C$3:$C$501,"=51",'Plan rashoda za unos u SAP'!$M$3:$M$501,"=322")+SUMIFS('ANALITIKA EU PROJEKATA'!$G$3:$G$501,'ANALITIKA EU PROJEKATA'!$A$3:$A$501,"=51",'ANALITIKA EU PROJEKATA'!$P$3:$P$501,"=322")</f>
        <v>0</v>
      </c>
      <c r="K11" s="140">
        <f>SUMIFS('Plan rashoda za unos u SAP'!$I$3:$I$501,'Plan rashoda za unos u SAP'!$C$3:$C$501,"=52",'Plan rashoda za unos u SAP'!$M$3:$M$501,"=322")+SUMIFS('ANALITIKA EU PROJEKATA'!$G$3:$G$501,'ANALITIKA EU PROJEKATA'!$A$3:$A$501,"=52",'ANALITIKA EU PROJEKATA'!$P$3:$P$501,"=322")</f>
        <v>0</v>
      </c>
      <c r="L11" s="140">
        <f>SUMIFS('Plan rashoda za unos u SAP'!$I$3:$I$501,'Plan rashoda za unos u SAP'!$C$3:$C$501,"=552",'Plan rashoda za unos u SAP'!$M$3:$M$501,"=322")+SUMIFS('ANALITIKA EU PROJEKATA'!$G$3:$G$501,'ANALITIKA EU PROJEKATA'!$A$3:$A$501,"=552",'ANALITIKA EU PROJEKATA'!$P$3:$P$501,"=322")</f>
        <v>0</v>
      </c>
      <c r="M11" s="140">
        <f>SUMIFS('Plan rashoda za unos u SAP'!$I$3:$I$501,'Plan rashoda za unos u SAP'!$C$3:$C$501,"=559",'Plan rashoda za unos u SAP'!$M$3:$M$501,"=322")+SUMIFS('ANALITIKA EU PROJEKATA'!$G$3:$G$501,'ANALITIKA EU PROJEKATA'!$A$3:$A$501,"=559",'ANALITIKA EU PROJEKATA'!$P$3:$P$501,"=322")</f>
        <v>0</v>
      </c>
      <c r="N11" s="140">
        <f>SUMIFS('Plan rashoda za unos u SAP'!$I$3:$I$501,'Plan rashoda za unos u SAP'!$C$3:$C$501,"=561",'Plan rashoda za unos u SAP'!$M$3:$M$501,"=322")+SUMIFS('ANALITIKA EU PROJEKATA'!$G$3:$G$501,'ANALITIKA EU PROJEKATA'!$A$3:$A$501,"=561",'ANALITIKA EU PROJEKATA'!$P$3:$P$501,"=322")</f>
        <v>0</v>
      </c>
      <c r="O11" s="140">
        <f>SUMIFS('Plan rashoda za unos u SAP'!$I$3:$I$501,'Plan rashoda za unos u SAP'!$C$3:$C$501,"=563",'Plan rashoda za unos u SAP'!$M$3:$M$501,"=322")+SUMIFS('ANALITIKA EU PROJEKATA'!$G$3:$G$501,'ANALITIKA EU PROJEKATA'!$A$3:$A$501,"=563",'ANALITIKA EU PROJEKATA'!$P$3:$P$501,"=322")</f>
        <v>0</v>
      </c>
      <c r="P11" s="140">
        <f>SUMIFS('Plan rashoda za unos u SAP'!$I$3:$I$501,'Plan rashoda za unos u SAP'!$C$3:$C$501,"=573",'Plan rashoda za unos u SAP'!$M$3:$M$501,"=322")+SUMIFS('ANALITIKA EU PROJEKATA'!$G$3:$G$501,'ANALITIKA EU PROJEKATA'!$A$3:$A$501,"=573",'ANALITIKA EU PROJEKATA'!$P$3:$P$501,"=322")</f>
        <v>0</v>
      </c>
      <c r="Q11" s="140">
        <f>SUMIFS('Plan rashoda za unos u SAP'!$I$3:$I$501,'Plan rashoda za unos u SAP'!$C$3:$C$501,"=575",'Plan rashoda za unos u SAP'!$M$3:$M$501,"=322")+SUMIFS('ANALITIKA EU PROJEKATA'!$G$3:$G$501,'ANALITIKA EU PROJEKATA'!$A$3:$A$501,"=575",'ANALITIKA EU PROJEKATA'!$P$3:$P$501,"=322")</f>
        <v>0</v>
      </c>
      <c r="R11" s="140">
        <f>SUMIFS('Plan rashoda za unos u SAP'!$I$3:$I$501,'Plan rashoda za unos u SAP'!$C$3:$C$501,"=576",'Plan rashoda za unos u SAP'!$M$3:$M$501,"=322")+SUMIFS('ANALITIKA EU PROJEKATA'!$G$3:$G$501,'ANALITIKA EU PROJEKATA'!$A$3:$A$501,"=576",'ANALITIKA EU PROJEKATA'!$P$3:$P$501,"=322")</f>
        <v>0</v>
      </c>
      <c r="S11" s="140">
        <f>SUMIFS('Plan rashoda za unos u SAP'!$I$3:$I$501,'Plan rashoda za unos u SAP'!$C$3:$C$501,"=61",'Plan rashoda za unos u SAP'!$M$3:$M$501,"=322")+SUMIFS('ANALITIKA EU PROJEKATA'!$G$3:$G$501,'ANALITIKA EU PROJEKATA'!$A$3:$A$501,"=61",'ANALITIKA EU PROJEKATA'!$P$3:$P$501,"=322")</f>
        <v>0</v>
      </c>
      <c r="T11" s="140">
        <f>SUMIFS('Plan rashoda za unos u SAP'!$I$3:$I$501,'Plan rashoda za unos u SAP'!$C$3:$C$501,"=63",'Plan rashoda za unos u SAP'!$M$3:$M$501,"=322")+SUMIFS('ANALITIKA EU PROJEKATA'!$G$3:$G$501,'ANALITIKA EU PROJEKATA'!$A$3:$A$501,"=63",'ANALITIKA EU PROJEKATA'!$P$3:$P$501,"=322")</f>
        <v>0</v>
      </c>
      <c r="U11" s="140">
        <f>SUMIFS('Plan rashoda za unos u SAP'!$I$3:$I$501,'Plan rashoda za unos u SAP'!$C$3:$C$501,"=71",'Plan rashoda za unos u SAP'!$M$3:$M$501,"=322")+SUMIFS('ANALITIKA EU PROJEKATA'!$G$3:$G$501,'ANALITIKA EU PROJEKATA'!$A$3:$A$501,"=71",'ANALITIKA EU PROJEKATA'!$P$3:$P$501,"=322")</f>
        <v>0</v>
      </c>
      <c r="V11" s="140">
        <f>SUMIFS('Plan rashoda za unos u SAP'!$I$3:$I$501,'Plan rashoda za unos u SAP'!$C$3:$C$501,"=81",'Plan rashoda za unos u SAP'!$M$3:$M$501,"=322")+SUMIFS('ANALITIKA EU PROJEKATA'!$G$3:$G$501,'ANALITIKA EU PROJEKATA'!$A$3:$A$501,"=81",'ANALITIKA EU PROJEKATA'!$P$3:$P$501,"=322")</f>
        <v>0</v>
      </c>
      <c r="W11" s="140">
        <f>SUMIFS('Plan rashoda za unos u SAP'!$I$3:$I$501,'Plan rashoda za unos u SAP'!$C$3:$C$501,"=83",'Plan rashoda za unos u SAP'!$M$3:$M$501,"=322")+SUMIFS('ANALITIKA EU PROJEKATA'!$G$3:$G$501,'ANALITIKA EU PROJEKATA'!$A$3:$A$501,"=83",'ANALITIKA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209</v>
      </c>
      <c r="D12" s="14">
        <f t="shared" si="1"/>
        <v>10878016</v>
      </c>
      <c r="E12" s="140">
        <f>SUMIFS('Plan rashoda za unos u SAP'!$I$3:$I$501,'Plan rashoda za unos u SAP'!$C$3:$C$501,"=11",'Plan rashoda za unos u SAP'!$M$3:$M$501,"=323")+SUMIFS('ANALITIKA EU PROJEKATA'!$G$3:$G$501,'ANALITIKA EU PROJEKATA'!$A$3:$A$501,"=11",'ANALITIKA EU PROJEKATA'!$P$3:$P$501,"=323")</f>
        <v>5750000</v>
      </c>
      <c r="F12" s="140">
        <f>SUMIFS('Plan rashoda za unos u SAP'!$I$3:$I$501,'Plan rashoda za unos u SAP'!$C$3:$C$501,"=12",'Plan rashoda za unos u SAP'!$M$3:$M$501,"=323")+SUMIFS('ANALITIKA EU PROJEKATA'!$G$3:$G$501,'ANALITIKA EU PROJEKATA'!$A$3:$A$501,"=12",'ANALITIKA EU PROJEKATA'!$P$3:$P$501,"=323")</f>
        <v>0</v>
      </c>
      <c r="G12" s="140">
        <f>SUMIFS('Plan rashoda za unos u SAP'!$I$3:$I$501,'Plan rashoda za unos u SAP'!$C$3:$C$501,"=31",'Plan rashoda za unos u SAP'!$M$3:$M$501,"=323")+SUMIFS('ANALITIKA EU PROJEKATA'!$G$3:$G$501,'ANALITIKA EU PROJEKATA'!$A$3:$A$501,"=31",'ANALITIKA EU PROJEKATA'!$P$3:$P$501,"=323")</f>
        <v>3475000</v>
      </c>
      <c r="H12" s="140">
        <f>SUMIFS('Plan rashoda za unos u SAP'!$I$3:$I$501,'Plan rashoda za unos u SAP'!$C$3:$C$501,"=41",'Plan rashoda za unos u SAP'!$M$3:$M$501,"=323")+SUMIFS('ANALITIKA EU PROJEKATA'!$G$3:$G$501,'ANALITIKA EU PROJEKATA'!$A$3:$A$501,"=41",'ANALITIKA EU PROJEKATA'!$P$3:$P$501,"=323")</f>
        <v>0</v>
      </c>
      <c r="I12" s="140">
        <f>SUMIFS('Plan rashoda za unos u SAP'!$I$3:$I$501,'Plan rashoda za unos u SAP'!$C$3:$C$501,"=43",'Plan rashoda za unos u SAP'!$M$3:$M$501,"=323")+SUMIFS('ANALITIKA EU PROJEKATA'!$G$3:$G$501,'ANALITIKA EU PROJEKATA'!$A$3:$A$501,"=43",'ANALITIKA EU PROJEKATA'!$P$3:$P$501,"=323")</f>
        <v>1340000</v>
      </c>
      <c r="J12" s="140">
        <f>SUMIFS('Plan rashoda za unos u SAP'!$I$3:$I$501,'Plan rashoda za unos u SAP'!$C$3:$C$501,"=51",'Plan rashoda za unos u SAP'!$M$3:$M$501,"=323")+SUMIFS('ANALITIKA EU PROJEKATA'!$G$3:$G$501,'ANALITIKA EU PROJEKATA'!$A$3:$A$501,"=51",'ANALITIKA EU PROJEKATA'!$P$3:$P$501,"=323")</f>
        <v>313016</v>
      </c>
      <c r="K12" s="140">
        <f>SUMIFS('Plan rashoda za unos u SAP'!$I$3:$I$501,'Plan rashoda za unos u SAP'!$C$3:$C$501,"=52",'Plan rashoda za unos u SAP'!$M$3:$M$501,"=323")+SUMIFS('ANALITIKA EU PROJEKATA'!$G$3:$G$501,'ANALITIKA EU PROJEKATA'!$A$3:$A$501,"=52",'ANALITIKA EU PROJEKATA'!$P$3:$P$501,"=323")</f>
        <v>0</v>
      </c>
      <c r="L12" s="140">
        <f>SUMIFS('Plan rashoda za unos u SAP'!$I$3:$I$501,'Plan rashoda za unos u SAP'!$C$3:$C$501,"=552",'Plan rashoda za unos u SAP'!$M$3:$M$501,"=323")+SUMIFS('ANALITIKA EU PROJEKATA'!$G$3:$G$501,'ANALITIKA EU PROJEKATA'!$A$3:$A$501,"=552",'ANALITIKA EU PROJEKATA'!$P$3:$P$501,"=323")</f>
        <v>0</v>
      </c>
      <c r="M12" s="140">
        <f>SUMIFS('Plan rashoda za unos u SAP'!$I$3:$I$501,'Plan rashoda za unos u SAP'!$C$3:$C$501,"=559",'Plan rashoda za unos u SAP'!$M$3:$M$501,"=323")+SUMIFS('ANALITIKA EU PROJEKATA'!$G$3:$G$501,'ANALITIKA EU PROJEKATA'!$A$3:$A$501,"=559",'ANALITIKA EU PROJEKATA'!$P$3:$P$501,"=323")</f>
        <v>0</v>
      </c>
      <c r="N12" s="140">
        <f>SUMIFS('Plan rashoda za unos u SAP'!$I$3:$I$501,'Plan rashoda za unos u SAP'!$C$3:$C$501,"=561",'Plan rashoda za unos u SAP'!$M$3:$M$501,"=323")+SUMIFS('ANALITIKA EU PROJEKATA'!$G$3:$G$501,'ANALITIKA EU PROJEKATA'!$A$3:$A$501,"=561",'ANALITIKA EU PROJEKATA'!$P$3:$P$501,"=323")</f>
        <v>0</v>
      </c>
      <c r="O12" s="140">
        <f>SUMIFS('Plan rashoda za unos u SAP'!$I$3:$I$501,'Plan rashoda za unos u SAP'!$C$3:$C$501,"=563",'Plan rashoda za unos u SAP'!$M$3:$M$501,"=323")+SUMIFS('ANALITIKA EU PROJEKATA'!$G$3:$G$501,'ANALITIKA EU PROJEKATA'!$A$3:$A$501,"=563",'ANALITIKA EU PROJEKATA'!$P$3:$P$501,"=323")</f>
        <v>0</v>
      </c>
      <c r="P12" s="140">
        <f>SUMIFS('Plan rashoda za unos u SAP'!$I$3:$I$501,'Plan rashoda za unos u SAP'!$C$3:$C$501,"=573",'Plan rashoda za unos u SAP'!$M$3:$M$501,"=323")+SUMIFS('ANALITIKA EU PROJEKATA'!$G$3:$G$501,'ANALITIKA EU PROJEKATA'!$A$3:$A$501,"=573",'ANALITIKA EU PROJEKATA'!$P$3:$P$501,"=323")</f>
        <v>0</v>
      </c>
      <c r="Q12" s="140">
        <f>SUMIFS('Plan rashoda za unos u SAP'!$I$3:$I$501,'Plan rashoda za unos u SAP'!$C$3:$C$501,"=575",'Plan rashoda za unos u SAP'!$M$3:$M$501,"=323")+SUMIFS('ANALITIKA EU PROJEKATA'!$G$3:$G$501,'ANALITIKA EU PROJEKATA'!$A$3:$A$501,"=575",'ANALITIKA EU PROJEKATA'!$P$3:$P$501,"=323")</f>
        <v>0</v>
      </c>
      <c r="R12" s="140">
        <f>SUMIFS('Plan rashoda za unos u SAP'!$I$3:$I$501,'Plan rashoda za unos u SAP'!$C$3:$C$501,"=576",'Plan rashoda za unos u SAP'!$M$3:$M$501,"=323")+SUMIFS('ANALITIKA EU PROJEKATA'!$G$3:$G$501,'ANALITIKA EU PROJEKATA'!$A$3:$A$501,"=576",'ANALITIKA EU PROJEKATA'!$P$3:$P$501,"=323")</f>
        <v>0</v>
      </c>
      <c r="S12" s="140">
        <f>SUMIFS('Plan rashoda za unos u SAP'!$I$3:$I$501,'Plan rashoda za unos u SAP'!$C$3:$C$501,"=61",'Plan rashoda za unos u SAP'!$M$3:$M$501,"=323")+SUMIFS('ANALITIKA EU PROJEKATA'!$G$3:$G$501,'ANALITIKA EU PROJEKATA'!$A$3:$A$501,"=61",'ANALITIKA EU PROJEKATA'!$P$3:$P$501,"=323")</f>
        <v>0</v>
      </c>
      <c r="T12" s="140">
        <f>SUMIFS('Plan rashoda za unos u SAP'!$I$3:$I$501,'Plan rashoda za unos u SAP'!$C$3:$C$501,"=63",'Plan rashoda za unos u SAP'!$M$3:$M$501,"=323")+SUMIFS('ANALITIKA EU PROJEKATA'!$G$3:$G$501,'ANALITIKA EU PROJEKATA'!$A$3:$A$501,"=63",'ANALITIKA EU PROJEKATA'!$P$3:$P$501,"=323")</f>
        <v>0</v>
      </c>
      <c r="U12" s="140">
        <f>SUMIFS('Plan rashoda za unos u SAP'!$I$3:$I$501,'Plan rashoda za unos u SAP'!$C$3:$C$501,"=71",'Plan rashoda za unos u SAP'!$M$3:$M$501,"=323")+SUMIFS('ANALITIKA EU PROJEKATA'!$G$3:$G$501,'ANALITIKA EU PROJEKATA'!$A$3:$A$501,"=71",'ANALITIKA EU PROJEKATA'!$P$3:$P$501,"=323")</f>
        <v>0</v>
      </c>
      <c r="V12" s="140">
        <f>SUMIFS('Plan rashoda za unos u SAP'!$I$3:$I$501,'Plan rashoda za unos u SAP'!$C$3:$C$501,"=81",'Plan rashoda za unos u SAP'!$M$3:$M$501,"=323")+SUMIFS('ANALITIKA EU PROJEKATA'!$G$3:$G$501,'ANALITIKA EU PROJEKATA'!$A$3:$A$501,"=81",'ANALITIKA EU PROJEKATA'!$P$3:$P$501,"=323")</f>
        <v>0</v>
      </c>
      <c r="W12" s="140">
        <f>SUMIFS('Plan rashoda za unos u SAP'!$I$3:$I$501,'Plan rashoda za unos u SAP'!$C$3:$C$501,"=83",'Plan rashoda za unos u SAP'!$M$3:$M$501,"=323")+SUMIFS('ANALITIKA EU PROJEKATA'!$G$3:$G$501,'ANALITIKA EU PROJEKATA'!$A$3:$A$501,"=83",'ANALITIKA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87</v>
      </c>
      <c r="D13" s="14">
        <f t="shared" si="1"/>
        <v>1335000</v>
      </c>
      <c r="E13" s="140">
        <f>SUMIFS('Plan rashoda za unos u SAP'!$I$3:$I$501,'Plan rashoda za unos u SAP'!$C$3:$C$501,"=11",'Plan rashoda za unos u SAP'!$M$3:$M$501,"=324")+SUMIFS('ANALITIKA EU PROJEKATA'!$G$3:$G$501,'ANALITIKA EU PROJEKATA'!$A$3:$A$501,"=11",'ANALITIKA EU PROJEKATA'!$P$3:$P$501,"=324")</f>
        <v>800000</v>
      </c>
      <c r="F13" s="140">
        <f>SUMIFS('Plan rashoda za unos u SAP'!$I$3:$I$501,'Plan rashoda za unos u SAP'!$C$3:$C$501,"=12",'Plan rashoda za unos u SAP'!$M$3:$M$501,"=324")+SUMIFS('ANALITIKA EU PROJEKATA'!$G$3:$G$501,'ANALITIKA EU PROJEKATA'!$A$3:$A$501,"=12",'ANALITIKA EU PROJEKATA'!$P$3:$P$501,"=324")</f>
        <v>0</v>
      </c>
      <c r="G13" s="140">
        <f>SUMIFS('Plan rashoda za unos u SAP'!$I$3:$I$501,'Plan rashoda za unos u SAP'!$C$3:$C$501,"=31",'Plan rashoda za unos u SAP'!$M$3:$M$501,"=324")+SUMIFS('ANALITIKA EU PROJEKATA'!$G$3:$G$501,'ANALITIKA EU PROJEKATA'!$A$3:$A$501,"=31",'ANALITIKA EU PROJEKATA'!$P$3:$P$501,"=324")</f>
        <v>80000</v>
      </c>
      <c r="H13" s="140">
        <f>SUMIFS('Plan rashoda za unos u SAP'!$I$3:$I$501,'Plan rashoda za unos u SAP'!$C$3:$C$501,"=41",'Plan rashoda za unos u SAP'!$M$3:$M$501,"=324")+SUMIFS('ANALITIKA EU PROJEKATA'!$G$3:$G$501,'ANALITIKA EU PROJEKATA'!$A$3:$A$501,"=41",'ANALITIKA EU PROJEKATA'!$P$3:$P$501,"=324")</f>
        <v>0</v>
      </c>
      <c r="I13" s="140">
        <f>SUMIFS('Plan rashoda za unos u SAP'!$I$3:$I$501,'Plan rashoda za unos u SAP'!$C$3:$C$501,"=43",'Plan rashoda za unos u SAP'!$M$3:$M$501,"=324")+SUMIFS('ANALITIKA EU PROJEKATA'!$G$3:$G$501,'ANALITIKA EU PROJEKATA'!$A$3:$A$501,"=43",'ANALITIKA EU PROJEKATA'!$P$3:$P$501,"=324")</f>
        <v>455000</v>
      </c>
      <c r="J13" s="140">
        <f>SUMIFS('Plan rashoda za unos u SAP'!$I$3:$I$501,'Plan rashoda za unos u SAP'!$C$3:$C$501,"=51",'Plan rashoda za unos u SAP'!$M$3:$M$501,"=324")+SUMIFS('ANALITIKA EU PROJEKATA'!$G$3:$G$501,'ANALITIKA EU PROJEKATA'!$A$3:$A$501,"=51",'ANALITIKA EU PROJEKATA'!$P$3:$P$501,"=324")</f>
        <v>0</v>
      </c>
      <c r="K13" s="140">
        <f>SUMIFS('Plan rashoda za unos u SAP'!$I$3:$I$501,'Plan rashoda za unos u SAP'!$C$3:$C$501,"=52",'Plan rashoda za unos u SAP'!$M$3:$M$501,"=324")+SUMIFS('ANALITIKA EU PROJEKATA'!$G$3:$G$501,'ANALITIKA EU PROJEKATA'!$A$3:$A$501,"=52",'ANALITIKA EU PROJEKATA'!$P$3:$P$501,"=324")</f>
        <v>0</v>
      </c>
      <c r="L13" s="140">
        <f>SUMIFS('Plan rashoda za unos u SAP'!$I$3:$I$501,'Plan rashoda za unos u SAP'!$C$3:$C$501,"=552",'Plan rashoda za unos u SAP'!$M$3:$M$501,"=324")+SUMIFS('ANALITIKA EU PROJEKATA'!$G$3:$G$501,'ANALITIKA EU PROJEKATA'!$A$3:$A$501,"=552",'ANALITIKA EU PROJEKATA'!$P$3:$P$501,"=324")</f>
        <v>0</v>
      </c>
      <c r="M13" s="140">
        <f>SUMIFS('Plan rashoda za unos u SAP'!$I$3:$I$501,'Plan rashoda za unos u SAP'!$C$3:$C$501,"=559",'Plan rashoda za unos u SAP'!$M$3:$M$501,"=324")+SUMIFS('ANALITIKA EU PROJEKATA'!$G$3:$G$501,'ANALITIKA EU PROJEKATA'!$A$3:$A$501,"=559",'ANALITIKA EU PROJEKATA'!$P$3:$P$501,"=324")</f>
        <v>0</v>
      </c>
      <c r="N13" s="140">
        <f>SUMIFS('Plan rashoda za unos u SAP'!$I$3:$I$501,'Plan rashoda za unos u SAP'!$C$3:$C$501,"=561",'Plan rashoda za unos u SAP'!$M$3:$M$501,"=324")+SUMIFS('ANALITIKA EU PROJEKATA'!$G$3:$G$501,'ANALITIKA EU PROJEKATA'!$A$3:$A$501,"=561",'ANALITIKA EU PROJEKATA'!$P$3:$P$501,"=324")</f>
        <v>0</v>
      </c>
      <c r="O13" s="140">
        <f>SUMIFS('Plan rashoda za unos u SAP'!$I$3:$I$501,'Plan rashoda za unos u SAP'!$C$3:$C$501,"=563",'Plan rashoda za unos u SAP'!$M$3:$M$501,"=324")+SUMIFS('ANALITIKA EU PROJEKATA'!$G$3:$G$501,'ANALITIKA EU PROJEKATA'!$A$3:$A$501,"=563",'ANALITIKA EU PROJEKATA'!$P$3:$P$501,"=324")</f>
        <v>0</v>
      </c>
      <c r="P13" s="140">
        <f>SUMIFS('Plan rashoda za unos u SAP'!$I$3:$I$501,'Plan rashoda za unos u SAP'!$C$3:$C$501,"=573",'Plan rashoda za unos u SAP'!$M$3:$M$501,"=324")+SUMIFS('ANALITIKA EU PROJEKATA'!$G$3:$G$501,'ANALITIKA EU PROJEKATA'!$A$3:$A$501,"=573",'ANALITIKA EU PROJEKATA'!$P$3:$P$501,"=324")</f>
        <v>0</v>
      </c>
      <c r="Q13" s="140">
        <f>SUMIFS('Plan rashoda za unos u SAP'!$I$3:$I$501,'Plan rashoda za unos u SAP'!$C$3:$C$501,"=575",'Plan rashoda za unos u SAP'!$M$3:$M$501,"=324")+SUMIFS('ANALITIKA EU PROJEKATA'!$G$3:$G$501,'ANALITIKA EU PROJEKATA'!$A$3:$A$501,"=575",'ANALITIKA EU PROJEKATA'!$P$3:$P$501,"=324")</f>
        <v>0</v>
      </c>
      <c r="R13" s="140">
        <f>SUMIFS('Plan rashoda za unos u SAP'!$I$3:$I$501,'Plan rashoda za unos u SAP'!$C$3:$C$501,"=576",'Plan rashoda za unos u SAP'!$M$3:$M$501,"=324")+SUMIFS('ANALITIKA EU PROJEKATA'!$G$3:$G$501,'ANALITIKA EU PROJEKATA'!$A$3:$A$501,"=576",'ANALITIKA EU PROJEKATA'!$P$3:$P$501,"=324")</f>
        <v>0</v>
      </c>
      <c r="S13" s="140">
        <f>SUMIFS('Plan rashoda za unos u SAP'!$I$3:$I$501,'Plan rashoda za unos u SAP'!$C$3:$C$501,"=61",'Plan rashoda za unos u SAP'!$M$3:$M$501,"=324")+SUMIFS('ANALITIKA EU PROJEKATA'!$G$3:$G$501,'ANALITIKA EU PROJEKATA'!$A$3:$A$501,"=61",'ANALITIKA EU PROJEKATA'!$P$3:$P$501,"=324")</f>
        <v>0</v>
      </c>
      <c r="T13" s="140">
        <f>SUMIFS('Plan rashoda za unos u SAP'!$I$3:$I$501,'Plan rashoda za unos u SAP'!$C$3:$C$501,"=63",'Plan rashoda za unos u SAP'!$M$3:$M$501,"=324")+SUMIFS('ANALITIKA EU PROJEKATA'!$G$3:$G$501,'ANALITIKA EU PROJEKATA'!$A$3:$A$501,"=63",'ANALITIKA EU PROJEKATA'!$P$3:$P$501,"=324")</f>
        <v>0</v>
      </c>
      <c r="U13" s="140">
        <f>SUMIFS('Plan rashoda za unos u SAP'!$I$3:$I$501,'Plan rashoda za unos u SAP'!$C$3:$C$501,"=71",'Plan rashoda za unos u SAP'!$M$3:$M$501,"=324")+SUMIFS('ANALITIKA EU PROJEKATA'!$G$3:$G$501,'ANALITIKA EU PROJEKATA'!$A$3:$A$501,"=71",'ANALITIKA EU PROJEKATA'!$P$3:$P$501,"=324")</f>
        <v>0</v>
      </c>
      <c r="V13" s="140">
        <f>SUMIFS('Plan rashoda za unos u SAP'!$I$3:$I$501,'Plan rashoda za unos u SAP'!$C$3:$C$501,"=81",'Plan rashoda za unos u SAP'!$M$3:$M$501,"=324")+SUMIFS('ANALITIKA EU PROJEKATA'!$G$3:$G$501,'ANALITIKA EU PROJEKATA'!$A$3:$A$501,"=81",'ANALITIKA EU PROJEKATA'!$P$3:$P$501,"=324")</f>
        <v>0</v>
      </c>
      <c r="W13" s="140">
        <f>SUMIFS('Plan rashoda za unos u SAP'!$I$3:$I$501,'Plan rashoda za unos u SAP'!$C$3:$C$501,"=83",'Plan rashoda za unos u SAP'!$M$3:$M$501,"=324")+SUMIFS('ANALITIKA EU PROJEKATA'!$G$3:$G$501,'ANALITIKA EU PROJEKATA'!$A$3:$A$501,"=83",'ANALITIKA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64</v>
      </c>
      <c r="D14" s="14">
        <f t="shared" si="1"/>
        <v>800000</v>
      </c>
      <c r="E14" s="140">
        <f>SUMIFS('Plan rashoda za unos u SAP'!$I$3:$I$501,'Plan rashoda za unos u SAP'!$C$3:$C$501,"=11",'Plan rashoda za unos u SAP'!$M$3:$M$501,"=329")+SUMIFS('ANALITIKA EU PROJEKATA'!$G$3:$G$501,'ANALITIKA EU PROJEKATA'!$A$3:$A$501,"=11",'ANALITIKA EU PROJEKATA'!$P$3:$P$501,"=329")</f>
        <v>120000</v>
      </c>
      <c r="F14" s="140">
        <f>SUMIFS('Plan rashoda za unos u SAP'!$I$3:$I$501,'Plan rashoda za unos u SAP'!$C$3:$C$501,"=12",'Plan rashoda za unos u SAP'!$M$3:$M$501,"=329")+SUMIFS('ANALITIKA EU PROJEKATA'!$G$3:$G$501,'ANALITIKA EU PROJEKATA'!$A$3:$A$501,"=12",'ANALITIKA EU PROJEKATA'!$P$3:$P$501,"=329")</f>
        <v>0</v>
      </c>
      <c r="G14" s="140">
        <f>SUMIFS('Plan rashoda za unos u SAP'!$I$3:$I$501,'Plan rashoda za unos u SAP'!$C$3:$C$501,"=31",'Plan rashoda za unos u SAP'!$M$3:$M$501,"=329")+SUMIFS('ANALITIKA EU PROJEKATA'!$G$3:$G$501,'ANALITIKA EU PROJEKATA'!$A$3:$A$501,"=31",'ANALITIKA EU PROJEKATA'!$P$3:$P$501,"=329")</f>
        <v>375000</v>
      </c>
      <c r="H14" s="140">
        <f>SUMIFS('Plan rashoda za unos u SAP'!$I$3:$I$501,'Plan rashoda za unos u SAP'!$C$3:$C$501,"=41",'Plan rashoda za unos u SAP'!$M$3:$M$501,"=329")+SUMIFS('ANALITIKA EU PROJEKATA'!$G$3:$G$501,'ANALITIKA EU PROJEKATA'!$A$3:$A$501,"=41",'ANALITIKA EU PROJEKATA'!$P$3:$P$501,"=329")</f>
        <v>0</v>
      </c>
      <c r="I14" s="140">
        <f>SUMIFS('Plan rashoda za unos u SAP'!$I$3:$I$501,'Plan rashoda za unos u SAP'!$C$3:$C$501,"=43",'Plan rashoda za unos u SAP'!$M$3:$M$501,"=329")+SUMIFS('ANALITIKA EU PROJEKATA'!$G$3:$G$501,'ANALITIKA EU PROJEKATA'!$A$3:$A$501,"=43",'ANALITIKA EU PROJEKATA'!$P$3:$P$501,"=329")</f>
        <v>305000</v>
      </c>
      <c r="J14" s="140">
        <f>SUMIFS('Plan rashoda za unos u SAP'!$I$3:$I$501,'Plan rashoda za unos u SAP'!$C$3:$C$501,"=51",'Plan rashoda za unos u SAP'!$M$3:$M$501,"=329")+SUMIFS('ANALITIKA EU PROJEKATA'!$G$3:$G$501,'ANALITIKA EU PROJEKATA'!$A$3:$A$501,"=51",'ANALITIKA EU PROJEKATA'!$P$3:$P$501,"=329")</f>
        <v>0</v>
      </c>
      <c r="K14" s="140">
        <f>SUMIFS('Plan rashoda za unos u SAP'!$I$3:$I$501,'Plan rashoda za unos u SAP'!$C$3:$C$501,"=52",'Plan rashoda za unos u SAP'!$M$3:$M$501,"=329")+SUMIFS('ANALITIKA EU PROJEKATA'!$G$3:$G$501,'ANALITIKA EU PROJEKATA'!$A$3:$A$501,"=52",'ANALITIKA EU PROJEKATA'!$P$3:$P$501,"=329")</f>
        <v>0</v>
      </c>
      <c r="L14" s="140">
        <f>SUMIFS('Plan rashoda za unos u SAP'!$I$3:$I$501,'Plan rashoda za unos u SAP'!$C$3:$C$501,"=552",'Plan rashoda za unos u SAP'!$M$3:$M$501,"=329")+SUMIFS('ANALITIKA EU PROJEKATA'!$G$3:$G$501,'ANALITIKA EU PROJEKATA'!$A$3:$A$501,"=552",'ANALITIKA EU PROJEKATA'!$P$3:$P$501,"=329")</f>
        <v>0</v>
      </c>
      <c r="M14" s="140">
        <f>SUMIFS('Plan rashoda za unos u SAP'!$I$3:$I$501,'Plan rashoda za unos u SAP'!$C$3:$C$501,"=559",'Plan rashoda za unos u SAP'!$M$3:$M$501,"=329")+SUMIFS('ANALITIKA EU PROJEKATA'!$G$3:$G$501,'ANALITIKA EU PROJEKATA'!$A$3:$A$501,"=559",'ANALITIKA EU PROJEKATA'!$P$3:$P$501,"=329")</f>
        <v>0</v>
      </c>
      <c r="N14" s="140">
        <f>SUMIFS('Plan rashoda za unos u SAP'!$I$3:$I$501,'Plan rashoda za unos u SAP'!$C$3:$C$501,"=561",'Plan rashoda za unos u SAP'!$M$3:$M$501,"=329")+SUMIFS('ANALITIKA EU PROJEKATA'!$G$3:$G$501,'ANALITIKA EU PROJEKATA'!$A$3:$A$501,"=561",'ANALITIKA EU PROJEKATA'!$P$3:$P$501,"=329")</f>
        <v>0</v>
      </c>
      <c r="O14" s="140">
        <f>SUMIFS('Plan rashoda za unos u SAP'!$I$3:$I$501,'Plan rashoda za unos u SAP'!$C$3:$C$501,"=563",'Plan rashoda za unos u SAP'!$M$3:$M$501,"=329")+SUMIFS('ANALITIKA EU PROJEKATA'!$G$3:$G$501,'ANALITIKA EU PROJEKATA'!$A$3:$A$501,"=563",'ANALITIKA EU PROJEKATA'!$P$3:$P$501,"=329")</f>
        <v>0</v>
      </c>
      <c r="P14" s="140">
        <f>SUMIFS('Plan rashoda za unos u SAP'!$I$3:$I$501,'Plan rashoda za unos u SAP'!$C$3:$C$501,"=573",'Plan rashoda za unos u SAP'!$M$3:$M$501,"=329")+SUMIFS('ANALITIKA EU PROJEKATA'!$G$3:$G$501,'ANALITIKA EU PROJEKATA'!$A$3:$A$501,"=573",'ANALITIKA EU PROJEKATA'!$P$3:$P$501,"=329")</f>
        <v>0</v>
      </c>
      <c r="Q14" s="140">
        <f>SUMIFS('Plan rashoda za unos u SAP'!$I$3:$I$501,'Plan rashoda za unos u SAP'!$C$3:$C$501,"=575",'Plan rashoda za unos u SAP'!$M$3:$M$501,"=329")+SUMIFS('ANALITIKA EU PROJEKATA'!$G$3:$G$501,'ANALITIKA EU PROJEKATA'!$A$3:$A$501,"=575",'ANALITIKA EU PROJEKATA'!$P$3:$P$501,"=329")</f>
        <v>0</v>
      </c>
      <c r="R14" s="140">
        <f>SUMIFS('Plan rashoda za unos u SAP'!$I$3:$I$501,'Plan rashoda za unos u SAP'!$C$3:$C$501,"=576",'Plan rashoda za unos u SAP'!$M$3:$M$501,"=329")+SUMIFS('ANALITIKA EU PROJEKATA'!$G$3:$G$501,'ANALITIKA EU PROJEKATA'!$A$3:$A$501,"=576",'ANALITIKA EU PROJEKATA'!$P$3:$P$501,"=329")</f>
        <v>0</v>
      </c>
      <c r="S14" s="140">
        <f>SUMIFS('Plan rashoda za unos u SAP'!$I$3:$I$501,'Plan rashoda za unos u SAP'!$C$3:$C$501,"=61",'Plan rashoda za unos u SAP'!$M$3:$M$501,"=329")+SUMIFS('ANALITIKA EU PROJEKATA'!$G$3:$G$501,'ANALITIKA EU PROJEKATA'!$A$3:$A$501,"=61",'ANALITIKA EU PROJEKATA'!$P$3:$P$501,"=329")</f>
        <v>0</v>
      </c>
      <c r="T14" s="140">
        <f>SUMIFS('Plan rashoda za unos u SAP'!$I$3:$I$501,'Plan rashoda za unos u SAP'!$C$3:$C$501,"=63",'Plan rashoda za unos u SAP'!$M$3:$M$501,"=329")+SUMIFS('ANALITIKA EU PROJEKATA'!$G$3:$G$501,'ANALITIKA EU PROJEKATA'!$A$3:$A$501,"=63",'ANALITIKA EU PROJEKATA'!$P$3:$P$501,"=329")</f>
        <v>0</v>
      </c>
      <c r="U14" s="140">
        <f>SUMIFS('Plan rashoda za unos u SAP'!$I$3:$I$501,'Plan rashoda za unos u SAP'!$C$3:$C$501,"=71",'Plan rashoda za unos u SAP'!$M$3:$M$501,"=329")+SUMIFS('ANALITIKA EU PROJEKATA'!$G$3:$G$501,'ANALITIKA EU PROJEKATA'!$A$3:$A$501,"=71",'ANALITIKA EU PROJEKATA'!$P$3:$P$501,"=329")</f>
        <v>0</v>
      </c>
      <c r="V14" s="140">
        <f>SUMIFS('Plan rashoda za unos u SAP'!$I$3:$I$501,'Plan rashoda za unos u SAP'!$C$3:$C$501,"=81",'Plan rashoda za unos u SAP'!$M$3:$M$501,"=329")+SUMIFS('ANALITIKA EU PROJEKATA'!$G$3:$G$501,'ANALITIKA EU PROJEKATA'!$A$3:$A$501,"=81",'ANALITIKA EU PROJEKATA'!$P$3:$P$501,"=329")</f>
        <v>0</v>
      </c>
      <c r="W14" s="140">
        <f>SUMIFS('Plan rashoda za unos u SAP'!$I$3:$I$501,'Plan rashoda za unos u SAP'!$C$3:$C$501,"=83",'Plan rashoda za unos u SAP'!$M$3:$M$501,"=329")+SUMIFS('ANALITIKA EU PROJEKATA'!$G$3:$G$501,'ANALITIKA EU PROJEKATA'!$A$3:$A$501,"=83",'ANALITIKA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210</v>
      </c>
      <c r="D15" s="4">
        <f t="shared" si="1"/>
        <v>110000</v>
      </c>
      <c r="E15" s="4">
        <f t="shared" ref="E15:W15" si="5">SUM(E16:E18)</f>
        <v>0</v>
      </c>
      <c r="F15" s="4">
        <f t="shared" si="5"/>
        <v>0</v>
      </c>
      <c r="G15" s="4">
        <f t="shared" si="5"/>
        <v>30000</v>
      </c>
      <c r="H15" s="4">
        <f>SUM(H16:H18)</f>
        <v>0</v>
      </c>
      <c r="I15" s="4">
        <f t="shared" si="5"/>
        <v>80000</v>
      </c>
      <c r="J15" s="4">
        <f t="shared" si="5"/>
        <v>0</v>
      </c>
      <c r="K15" s="4">
        <f t="shared" si="5"/>
        <v>0</v>
      </c>
      <c r="L15" s="4">
        <f>SUM(L16:L18)</f>
        <v>0</v>
      </c>
      <c r="M15" s="4">
        <f t="shared" si="5"/>
        <v>0</v>
      </c>
      <c r="N15" s="4">
        <f t="shared" si="5"/>
        <v>0</v>
      </c>
      <c r="O15" s="4">
        <f t="shared" si="5"/>
        <v>0</v>
      </c>
      <c r="P15" s="4">
        <f>SUM(P16:P18)</f>
        <v>0</v>
      </c>
      <c r="Q15" s="4">
        <f>SUM(Q16:Q18)</f>
        <v>0</v>
      </c>
      <c r="R15" s="4">
        <f>SUM(R16:R18)</f>
        <v>0</v>
      </c>
      <c r="S15" s="4">
        <f t="shared" si="5"/>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326</v>
      </c>
      <c r="D16" s="14">
        <f t="shared" si="1"/>
        <v>0</v>
      </c>
      <c r="E16" s="140">
        <f>SUMIFS('Plan rashoda za unos u SAP'!$I$3:$I$501,'Plan rashoda za unos u SAP'!$C$3:$C$501,"=11",'Plan rashoda za unos u SAP'!$M$3:$M$501,"=341")+SUMIFS('ANALITIKA EU PROJEKATA'!$G$3:$G$501,'ANALITIKA EU PROJEKATA'!$A$3:$A$501,"=11",'ANALITIKA EU PROJEKATA'!$P$3:$P$501,"=341")</f>
        <v>0</v>
      </c>
      <c r="F16" s="140">
        <f>SUMIFS('Plan rashoda za unos u SAP'!$I$3:$I$501,'Plan rashoda za unos u SAP'!$C$3:$C$501,"=12",'Plan rashoda za unos u SAP'!$M$3:$M$501,"=341")+SUMIFS('ANALITIKA EU PROJEKATA'!$G$3:$G$501,'ANALITIKA EU PROJEKATA'!$A$3:$A$501,"=12",'ANALITIKA EU PROJEKATA'!$P$3:$P$501,"=341")</f>
        <v>0</v>
      </c>
      <c r="G16" s="140">
        <f>SUMIFS('Plan rashoda za unos u SAP'!$I$3:$I$501,'Plan rashoda za unos u SAP'!$C$3:$C$501,"=31",'Plan rashoda za unos u SAP'!$M$3:$M$501,"=341")+SUMIFS('ANALITIKA EU PROJEKATA'!$G$3:$G$501,'ANALITIKA EU PROJEKATA'!$A$3:$A$501,"=31",'ANALITIKA EU PROJEKATA'!$P$3:$P$501,"=341")</f>
        <v>0</v>
      </c>
      <c r="H16" s="140">
        <f>SUMIFS('Plan rashoda za unos u SAP'!$I$3:$I$501,'Plan rashoda za unos u SAP'!$C$3:$C$501,"=41",'Plan rashoda za unos u SAP'!$M$3:$M$501,"=341")+SUMIFS('ANALITIKA EU PROJEKATA'!$G$3:$G$501,'ANALITIKA EU PROJEKATA'!$A$3:$A$501,"=41",'ANALITIKA EU PROJEKATA'!$P$3:$P$501,"=341")</f>
        <v>0</v>
      </c>
      <c r="I16" s="140">
        <f>SUMIFS('Plan rashoda za unos u SAP'!$I$3:$I$501,'Plan rashoda za unos u SAP'!$C$3:$C$501,"=43",'Plan rashoda za unos u SAP'!$M$3:$M$501,"=341")+SUMIFS('ANALITIKA EU PROJEKATA'!$G$3:$G$501,'ANALITIKA EU PROJEKATA'!$A$3:$A$501,"=43",'ANALITIKA EU PROJEKATA'!$P$3:$P$501,"=341")</f>
        <v>0</v>
      </c>
      <c r="J16" s="140">
        <f>SUMIFS('Plan rashoda za unos u SAP'!$I$3:$I$501,'Plan rashoda za unos u SAP'!$C$3:$C$501,"=51",'Plan rashoda za unos u SAP'!$M$3:$M$501,"=341")+SUMIFS('ANALITIKA EU PROJEKATA'!$G$3:$G$501,'ANALITIKA EU PROJEKATA'!$A$3:$A$501,"=51",'ANALITIKA EU PROJEKATA'!$P$3:$P$501,"=341")</f>
        <v>0</v>
      </c>
      <c r="K16" s="140">
        <f>SUMIFS('Plan rashoda za unos u SAP'!$I$3:$I$501,'Plan rashoda za unos u SAP'!$C$3:$C$501,"=52",'Plan rashoda za unos u SAP'!$M$3:$M$501,"=341")+SUMIFS('ANALITIKA EU PROJEKATA'!$G$3:$G$501,'ANALITIKA EU PROJEKATA'!$A$3:$A$501,"=52",'ANALITIKA EU PROJEKATA'!$P$3:$P$501,"=341")</f>
        <v>0</v>
      </c>
      <c r="L16" s="140">
        <f>SUMIFS('Plan rashoda za unos u SAP'!$I$3:$I$501,'Plan rashoda za unos u SAP'!$C$3:$C$501,"=552",'Plan rashoda za unos u SAP'!$M$3:$M$501,"=341")+SUMIFS('ANALITIKA EU PROJEKATA'!$G$3:$G$501,'ANALITIKA EU PROJEKATA'!$A$3:$A$501,"=552",'ANALITIKA EU PROJEKATA'!$P$3:$P$501,"=341")</f>
        <v>0</v>
      </c>
      <c r="M16" s="140">
        <f>SUMIFS('Plan rashoda za unos u SAP'!$I$3:$I$501,'Plan rashoda za unos u SAP'!$C$3:$C$501,"=559",'Plan rashoda za unos u SAP'!$M$3:$M$501,"=341")+SUMIFS('ANALITIKA EU PROJEKATA'!$G$3:$G$501,'ANALITIKA EU PROJEKATA'!$A$3:$A$501,"=559",'ANALITIKA EU PROJEKATA'!$P$3:$P$501,"=341")</f>
        <v>0</v>
      </c>
      <c r="N16" s="140">
        <f>SUMIFS('Plan rashoda za unos u SAP'!$I$3:$I$501,'Plan rashoda za unos u SAP'!$C$3:$C$501,"=561",'Plan rashoda za unos u SAP'!$M$3:$M$501,"=341")+SUMIFS('ANALITIKA EU PROJEKATA'!$G$3:$G$501,'ANALITIKA EU PROJEKATA'!$A$3:$A$501,"=561",'ANALITIKA EU PROJEKATA'!$P$3:$P$501,"=341")</f>
        <v>0</v>
      </c>
      <c r="O16" s="140">
        <f>SUMIFS('Plan rashoda za unos u SAP'!$I$3:$I$501,'Plan rashoda za unos u SAP'!$C$3:$C$501,"=563",'Plan rashoda za unos u SAP'!$M$3:$M$501,"=341")+SUMIFS('ANALITIKA EU PROJEKATA'!$G$3:$G$501,'ANALITIKA EU PROJEKATA'!$A$3:$A$501,"=563",'ANALITIKA EU PROJEKATA'!$P$3:$P$501,"=341")</f>
        <v>0</v>
      </c>
      <c r="P16" s="140">
        <f>SUMIFS('Plan rashoda za unos u SAP'!$I$3:$I$501,'Plan rashoda za unos u SAP'!$C$3:$C$501,"=573",'Plan rashoda za unos u SAP'!$M$3:$M$501,"=341")+SUMIFS('ANALITIKA EU PROJEKATA'!$G$3:$G$501,'ANALITIKA EU PROJEKATA'!$A$3:$A$501,"=573",'ANALITIKA EU PROJEKATA'!$P$3:$P$501,"=341")</f>
        <v>0</v>
      </c>
      <c r="Q16" s="140">
        <f>SUMIFS('Plan rashoda za unos u SAP'!$I$3:$I$501,'Plan rashoda za unos u SAP'!$C$3:$C$501,"=575",'Plan rashoda za unos u SAP'!$M$3:$M$501,"=341")+SUMIFS('ANALITIKA EU PROJEKATA'!$G$3:$G$501,'ANALITIKA EU PROJEKATA'!$A$3:$A$501,"=575",'ANALITIKA EU PROJEKATA'!$P$3:$P$501,"=341")</f>
        <v>0</v>
      </c>
      <c r="R16" s="140">
        <f>SUMIFS('Plan rashoda za unos u SAP'!$I$3:$I$501,'Plan rashoda za unos u SAP'!$C$3:$C$501,"=576",'Plan rashoda za unos u SAP'!$M$3:$M$501,"=341")+SUMIFS('ANALITIKA EU PROJEKATA'!$G$3:$G$501,'ANALITIKA EU PROJEKATA'!$A$3:$A$501,"=576",'ANALITIKA EU PROJEKATA'!$P$3:$P$501,"=341")</f>
        <v>0</v>
      </c>
      <c r="S16" s="140">
        <f>SUMIFS('Plan rashoda za unos u SAP'!$I$3:$I$501,'Plan rashoda za unos u SAP'!$C$3:$C$501,"=61",'Plan rashoda za unos u SAP'!$M$3:$M$501,"=341")+SUMIFS('ANALITIKA EU PROJEKATA'!$G$3:$G$501,'ANALITIKA EU PROJEKATA'!$A$3:$A$501,"=61",'ANALITIKA EU PROJEKATA'!$P$3:$P$501,"=341")</f>
        <v>0</v>
      </c>
      <c r="T16" s="140">
        <f>SUMIFS('Plan rashoda za unos u SAP'!$I$3:$I$501,'Plan rashoda za unos u SAP'!$C$3:$C$501,"=63",'Plan rashoda za unos u SAP'!$M$3:$M$501,"=341")+SUMIFS('ANALITIKA EU PROJEKATA'!$G$3:$G$501,'ANALITIKA EU PROJEKATA'!$A$3:$A$501,"=63",'ANALITIKA EU PROJEKATA'!$P$3:$P$501,"=341")</f>
        <v>0</v>
      </c>
      <c r="U16" s="140">
        <f>SUMIFS('Plan rashoda za unos u SAP'!$I$3:$I$501,'Plan rashoda za unos u SAP'!$C$3:$C$501,"=71",'Plan rashoda za unos u SAP'!$M$3:$M$501,"=341")+SUMIFS('ANALITIKA EU PROJEKATA'!$G$3:$G$501,'ANALITIKA EU PROJEKATA'!$A$3:$A$501,"=71",'ANALITIKA EU PROJEKATA'!$P$3:$P$501,"=341")</f>
        <v>0</v>
      </c>
      <c r="V16" s="140">
        <f>SUMIFS('Plan rashoda za unos u SAP'!$I$3:$I$501,'Plan rashoda za unos u SAP'!$C$3:$C$501,"=81",'Plan rashoda za unos u SAP'!$M$3:$M$501,"=341")+SUMIFS('ANALITIKA EU PROJEKATA'!$G$3:$G$501,'ANALITIKA EU PROJEKATA'!$A$3:$A$501,"=81",'ANALITIKA EU PROJEKATA'!$P$3:$P$501,"=341")</f>
        <v>0</v>
      </c>
      <c r="W16" s="140">
        <f>SUMIFS('Plan rashoda za unos u SAP'!$I$3:$I$501,'Plan rashoda za unos u SAP'!$C$3:$C$501,"=83",'Plan rashoda za unos u SAP'!$M$3:$M$501,"=341")+SUMIFS('ANALITIKA EU PROJEKATA'!$G$3:$G$501,'ANALITIKA EU PROJEKATA'!$A$3:$A$501,"=83",'ANALITIKA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327</v>
      </c>
      <c r="D17" s="14">
        <f t="shared" si="1"/>
        <v>0</v>
      </c>
      <c r="E17" s="140">
        <f>SUMIFS('Plan rashoda za unos u SAP'!$I$3:$I$501,'Plan rashoda za unos u SAP'!$C$3:$C$501,"=11",'Plan rashoda za unos u SAP'!$M$3:$M$501,"=342")+SUMIFS('ANALITIKA EU PROJEKATA'!$G$3:$G$501,'ANALITIKA EU PROJEKATA'!$A$3:$A$501,"=11",'ANALITIKA EU PROJEKATA'!$P$3:$P$501,"=342")</f>
        <v>0</v>
      </c>
      <c r="F17" s="140">
        <f>SUMIFS('Plan rashoda za unos u SAP'!$I$3:$I$501,'Plan rashoda za unos u SAP'!$C$3:$C$501,"=12",'Plan rashoda za unos u SAP'!$M$3:$M$501,"=342")+SUMIFS('ANALITIKA EU PROJEKATA'!$G$3:$G$501,'ANALITIKA EU PROJEKATA'!$A$3:$A$501,"=12",'ANALITIKA EU PROJEKATA'!$P$3:$P$501,"=342")</f>
        <v>0</v>
      </c>
      <c r="G17" s="140">
        <f>SUMIFS('Plan rashoda za unos u SAP'!$I$3:$I$501,'Plan rashoda za unos u SAP'!$C$3:$C$501,"=31",'Plan rashoda za unos u SAP'!$M$3:$M$501,"=342")+SUMIFS('ANALITIKA EU PROJEKATA'!$G$3:$G$501,'ANALITIKA EU PROJEKATA'!$A$3:$A$501,"=31",'ANALITIKA EU PROJEKATA'!$P$3:$P$501,"=342")</f>
        <v>0</v>
      </c>
      <c r="H17" s="140">
        <f>SUMIFS('Plan rashoda za unos u SAP'!$I$3:$I$501,'Plan rashoda za unos u SAP'!$C$3:$C$501,"=41",'Plan rashoda za unos u SAP'!$M$3:$M$501,"=342")+SUMIFS('ANALITIKA EU PROJEKATA'!$G$3:$G$501,'ANALITIKA EU PROJEKATA'!$A$3:$A$501,"=41",'ANALITIKA EU PROJEKATA'!$P$3:$P$501,"=342")</f>
        <v>0</v>
      </c>
      <c r="I17" s="140">
        <f>SUMIFS('Plan rashoda za unos u SAP'!$I$3:$I$501,'Plan rashoda za unos u SAP'!$C$3:$C$501,"=43",'Plan rashoda za unos u SAP'!$M$3:$M$501,"=342")+SUMIFS('ANALITIKA EU PROJEKATA'!$G$3:$G$501,'ANALITIKA EU PROJEKATA'!$A$3:$A$501,"=43",'ANALITIKA EU PROJEKATA'!$P$3:$P$501,"=342")</f>
        <v>0</v>
      </c>
      <c r="J17" s="140">
        <f>SUMIFS('Plan rashoda za unos u SAP'!$I$3:$I$501,'Plan rashoda za unos u SAP'!$C$3:$C$501,"=51",'Plan rashoda za unos u SAP'!$M$3:$M$501,"=342")+SUMIFS('ANALITIKA EU PROJEKATA'!$G$3:$G$501,'ANALITIKA EU PROJEKATA'!$A$3:$A$501,"=51",'ANALITIKA EU PROJEKATA'!$P$3:$P$501,"=342")</f>
        <v>0</v>
      </c>
      <c r="K17" s="140">
        <f>SUMIFS('Plan rashoda za unos u SAP'!$I$3:$I$501,'Plan rashoda za unos u SAP'!$C$3:$C$501,"=52",'Plan rashoda za unos u SAP'!$M$3:$M$501,"=342")+SUMIFS('ANALITIKA EU PROJEKATA'!$G$3:$G$501,'ANALITIKA EU PROJEKATA'!$A$3:$A$501,"=52",'ANALITIKA EU PROJEKATA'!$P$3:$P$501,"=342")</f>
        <v>0</v>
      </c>
      <c r="L17" s="140">
        <f>SUMIFS('Plan rashoda za unos u SAP'!$I$3:$I$501,'Plan rashoda za unos u SAP'!$C$3:$C$501,"=552",'Plan rashoda za unos u SAP'!$M$3:$M$501,"=342")+SUMIFS('ANALITIKA EU PROJEKATA'!$G$3:$G$501,'ANALITIKA EU PROJEKATA'!$A$3:$A$501,"=552",'ANALITIKA EU PROJEKATA'!$P$3:$P$501,"=342")</f>
        <v>0</v>
      </c>
      <c r="M17" s="140">
        <f>SUMIFS('Plan rashoda za unos u SAP'!$I$3:$I$501,'Plan rashoda za unos u SAP'!$C$3:$C$501,"=559",'Plan rashoda za unos u SAP'!$M$3:$M$501,"=342")+SUMIFS('ANALITIKA EU PROJEKATA'!$G$3:$G$501,'ANALITIKA EU PROJEKATA'!$A$3:$A$501,"=559",'ANALITIKA EU PROJEKATA'!$P$3:$P$501,"=342")</f>
        <v>0</v>
      </c>
      <c r="N17" s="140">
        <f>SUMIFS('Plan rashoda za unos u SAP'!$I$3:$I$501,'Plan rashoda za unos u SAP'!$C$3:$C$501,"=561",'Plan rashoda za unos u SAP'!$M$3:$M$501,"=342")+SUMIFS('ANALITIKA EU PROJEKATA'!$G$3:$G$501,'ANALITIKA EU PROJEKATA'!$A$3:$A$501,"=561",'ANALITIKA EU PROJEKATA'!$P$3:$P$501,"=342")</f>
        <v>0</v>
      </c>
      <c r="O17" s="140">
        <f>SUMIFS('Plan rashoda za unos u SAP'!$I$3:$I$501,'Plan rashoda za unos u SAP'!$C$3:$C$501,"=563",'Plan rashoda za unos u SAP'!$M$3:$M$501,"=342")+SUMIFS('ANALITIKA EU PROJEKATA'!$G$3:$G$501,'ANALITIKA EU PROJEKATA'!$A$3:$A$501,"=563",'ANALITIKA EU PROJEKATA'!$P$3:$P$501,"=342")</f>
        <v>0</v>
      </c>
      <c r="P17" s="140">
        <f>SUMIFS('Plan rashoda za unos u SAP'!$I$3:$I$501,'Plan rashoda za unos u SAP'!$C$3:$C$501,"=573",'Plan rashoda za unos u SAP'!$M$3:$M$501,"=342")+SUMIFS('ANALITIKA EU PROJEKATA'!$G$3:$G$501,'ANALITIKA EU PROJEKATA'!$A$3:$A$501,"=573",'ANALITIKA EU PROJEKATA'!$P$3:$P$501,"=342")</f>
        <v>0</v>
      </c>
      <c r="Q17" s="140">
        <f>SUMIFS('Plan rashoda za unos u SAP'!$I$3:$I$501,'Plan rashoda za unos u SAP'!$C$3:$C$501,"=575",'Plan rashoda za unos u SAP'!$M$3:$M$501,"=342")+SUMIFS('ANALITIKA EU PROJEKATA'!$G$3:$G$501,'ANALITIKA EU PROJEKATA'!$A$3:$A$501,"=575",'ANALITIKA EU PROJEKATA'!$P$3:$P$501,"=342")</f>
        <v>0</v>
      </c>
      <c r="R17" s="140">
        <f>SUMIFS('Plan rashoda za unos u SAP'!$I$3:$I$501,'Plan rashoda za unos u SAP'!$C$3:$C$501,"=576",'Plan rashoda za unos u SAP'!$M$3:$M$501,"=342")+SUMIFS('ANALITIKA EU PROJEKATA'!$G$3:$G$501,'ANALITIKA EU PROJEKATA'!$A$3:$A$501,"=576",'ANALITIKA EU PROJEKATA'!$P$3:$P$501,"=342")</f>
        <v>0</v>
      </c>
      <c r="S17" s="140">
        <f>SUMIFS('Plan rashoda za unos u SAP'!$I$3:$I$501,'Plan rashoda za unos u SAP'!$C$3:$C$501,"=61",'Plan rashoda za unos u SAP'!$M$3:$M$501,"=342")+SUMIFS('ANALITIKA EU PROJEKATA'!$G$3:$G$501,'ANALITIKA EU PROJEKATA'!$A$3:$A$501,"=61",'ANALITIKA EU PROJEKATA'!$P$3:$P$501,"=342")</f>
        <v>0</v>
      </c>
      <c r="T17" s="140">
        <f>SUMIFS('Plan rashoda za unos u SAP'!$I$3:$I$501,'Plan rashoda za unos u SAP'!$C$3:$C$501,"=63",'Plan rashoda za unos u SAP'!$M$3:$M$501,"=342")+SUMIFS('ANALITIKA EU PROJEKATA'!$G$3:$G$501,'ANALITIKA EU PROJEKATA'!$A$3:$A$501,"=63",'ANALITIKA EU PROJEKATA'!$P$3:$P$501,"=342")</f>
        <v>0</v>
      </c>
      <c r="U17" s="140">
        <f>SUMIFS('Plan rashoda za unos u SAP'!$I$3:$I$501,'Plan rashoda za unos u SAP'!$C$3:$C$501,"=71",'Plan rashoda za unos u SAP'!$M$3:$M$501,"=342")+SUMIFS('ANALITIKA EU PROJEKATA'!$G$3:$G$501,'ANALITIKA EU PROJEKATA'!$A$3:$A$501,"=71",'ANALITIKA EU PROJEKATA'!$P$3:$P$501,"=342")</f>
        <v>0</v>
      </c>
      <c r="V17" s="140">
        <f>SUMIFS('Plan rashoda za unos u SAP'!$I$3:$I$501,'Plan rashoda za unos u SAP'!$C$3:$C$501,"=81",'Plan rashoda za unos u SAP'!$M$3:$M$501,"=342")+SUMIFS('ANALITIKA EU PROJEKATA'!$G$3:$G$501,'ANALITIKA EU PROJEKATA'!$A$3:$A$501,"=81",'ANALITIKA EU PROJEKATA'!$P$3:$P$501,"=342")</f>
        <v>0</v>
      </c>
      <c r="W17" s="140">
        <f>SUMIFS('Plan rashoda za unos u SAP'!$I$3:$I$501,'Plan rashoda za unos u SAP'!$C$3:$C$501,"=83",'Plan rashoda za unos u SAP'!$M$3:$M$501,"=342")+SUMIFS('ANALITIKA EU PROJEKATA'!$G$3:$G$501,'ANALITIKA EU PROJEKATA'!$A$3:$A$501,"=83",'ANALITIKA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211</v>
      </c>
      <c r="D18" s="14">
        <f t="shared" si="1"/>
        <v>110000</v>
      </c>
      <c r="E18" s="140">
        <f>SUMIFS('Plan rashoda za unos u SAP'!$I$3:$I$501,'Plan rashoda za unos u SAP'!$C$3:$C$501,"=11",'Plan rashoda za unos u SAP'!$M$3:$M$501,"=343")+SUMIFS('ANALITIKA EU PROJEKATA'!$G$3:$G$501,'ANALITIKA EU PROJEKATA'!$A$3:$A$501,"=11",'ANALITIKA EU PROJEKATA'!$P$3:$P$501,"=343")</f>
        <v>0</v>
      </c>
      <c r="F18" s="140">
        <f>SUMIFS('Plan rashoda za unos u SAP'!$I$3:$I$501,'Plan rashoda za unos u SAP'!$C$3:$C$501,"=12",'Plan rashoda za unos u SAP'!$M$3:$M$501,"=343")+SUMIFS('ANALITIKA EU PROJEKATA'!$G$3:$G$501,'ANALITIKA EU PROJEKATA'!$A$3:$A$501,"=12",'ANALITIKA EU PROJEKATA'!$P$3:$P$501,"=343")</f>
        <v>0</v>
      </c>
      <c r="G18" s="140">
        <f>SUMIFS('Plan rashoda za unos u SAP'!$I$3:$I$501,'Plan rashoda za unos u SAP'!$C$3:$C$501,"=31",'Plan rashoda za unos u SAP'!$M$3:$M$501,"=343")+SUMIFS('ANALITIKA EU PROJEKATA'!$G$3:$G$501,'ANALITIKA EU PROJEKATA'!$A$3:$A$501,"=31",'ANALITIKA EU PROJEKATA'!$P$3:$P$501,"=343")</f>
        <v>30000</v>
      </c>
      <c r="H18" s="140">
        <f>SUMIFS('Plan rashoda za unos u SAP'!$I$3:$I$501,'Plan rashoda za unos u SAP'!$C$3:$C$501,"=41",'Plan rashoda za unos u SAP'!$M$3:$M$501,"=343")+SUMIFS('ANALITIKA EU PROJEKATA'!$G$3:$G$501,'ANALITIKA EU PROJEKATA'!$A$3:$A$501,"=41",'ANALITIKA EU PROJEKATA'!$P$3:$P$501,"=343")</f>
        <v>0</v>
      </c>
      <c r="I18" s="140">
        <f>SUMIFS('Plan rashoda za unos u SAP'!$I$3:$I$501,'Plan rashoda za unos u SAP'!$C$3:$C$501,"=43",'Plan rashoda za unos u SAP'!$M$3:$M$501,"=343")+SUMIFS('ANALITIKA EU PROJEKATA'!$G$3:$G$501,'ANALITIKA EU PROJEKATA'!$A$3:$A$501,"=43",'ANALITIKA EU PROJEKATA'!$P$3:$P$501,"=343")</f>
        <v>80000</v>
      </c>
      <c r="J18" s="140">
        <f>SUMIFS('Plan rashoda za unos u SAP'!$I$3:$I$501,'Plan rashoda za unos u SAP'!$C$3:$C$501,"=51",'Plan rashoda za unos u SAP'!$M$3:$M$501,"=343")+SUMIFS('ANALITIKA EU PROJEKATA'!$G$3:$G$501,'ANALITIKA EU PROJEKATA'!$A$3:$A$501,"=51",'ANALITIKA EU PROJEKATA'!$P$3:$P$501,"=343")</f>
        <v>0</v>
      </c>
      <c r="K18" s="140">
        <f>SUMIFS('Plan rashoda za unos u SAP'!$I$3:$I$501,'Plan rashoda za unos u SAP'!$C$3:$C$501,"=52",'Plan rashoda za unos u SAP'!$M$3:$M$501,"=343")+SUMIFS('ANALITIKA EU PROJEKATA'!$G$3:$G$501,'ANALITIKA EU PROJEKATA'!$A$3:$A$501,"=52",'ANALITIKA EU PROJEKATA'!$P$3:$P$501,"=343")</f>
        <v>0</v>
      </c>
      <c r="L18" s="140">
        <f>SUMIFS('Plan rashoda za unos u SAP'!$I$3:$I$501,'Plan rashoda za unos u SAP'!$C$3:$C$501,"=552",'Plan rashoda za unos u SAP'!$M$3:$M$501,"=343")+SUMIFS('ANALITIKA EU PROJEKATA'!$G$3:$G$501,'ANALITIKA EU PROJEKATA'!$A$3:$A$501,"=552",'ANALITIKA EU PROJEKATA'!$P$3:$P$501,"=343")</f>
        <v>0</v>
      </c>
      <c r="M18" s="140">
        <f>SUMIFS('Plan rashoda za unos u SAP'!$I$3:$I$501,'Plan rashoda za unos u SAP'!$C$3:$C$501,"=559",'Plan rashoda za unos u SAP'!$M$3:$M$501,"=343")+SUMIFS('ANALITIKA EU PROJEKATA'!$G$3:$G$501,'ANALITIKA EU PROJEKATA'!$A$3:$A$501,"=559",'ANALITIKA EU PROJEKATA'!$P$3:$P$501,"=343")</f>
        <v>0</v>
      </c>
      <c r="N18" s="140">
        <f>SUMIFS('Plan rashoda za unos u SAP'!$I$3:$I$501,'Plan rashoda za unos u SAP'!$C$3:$C$501,"=561",'Plan rashoda za unos u SAP'!$M$3:$M$501,"=343")+SUMIFS('ANALITIKA EU PROJEKATA'!$G$3:$G$501,'ANALITIKA EU PROJEKATA'!$A$3:$A$501,"=561",'ANALITIKA EU PROJEKATA'!$P$3:$P$501,"=343")</f>
        <v>0</v>
      </c>
      <c r="O18" s="140">
        <f>SUMIFS('Plan rashoda za unos u SAP'!$I$3:$I$501,'Plan rashoda za unos u SAP'!$C$3:$C$501,"=563",'Plan rashoda za unos u SAP'!$M$3:$M$501,"=343")+SUMIFS('ANALITIKA EU PROJEKATA'!$G$3:$G$501,'ANALITIKA EU PROJEKATA'!$A$3:$A$501,"=563",'ANALITIKA EU PROJEKATA'!$P$3:$P$501,"=343")</f>
        <v>0</v>
      </c>
      <c r="P18" s="140">
        <f>SUMIFS('Plan rashoda za unos u SAP'!$I$3:$I$501,'Plan rashoda za unos u SAP'!$C$3:$C$501,"=573",'Plan rashoda za unos u SAP'!$M$3:$M$501,"=343")+SUMIFS('ANALITIKA EU PROJEKATA'!$G$3:$G$501,'ANALITIKA EU PROJEKATA'!$A$3:$A$501,"=573",'ANALITIKA EU PROJEKATA'!$P$3:$P$501,"=343")</f>
        <v>0</v>
      </c>
      <c r="Q18" s="140">
        <f>SUMIFS('Plan rashoda za unos u SAP'!$I$3:$I$501,'Plan rashoda za unos u SAP'!$C$3:$C$501,"=575",'Plan rashoda za unos u SAP'!$M$3:$M$501,"=343")+SUMIFS('ANALITIKA EU PROJEKATA'!$G$3:$G$501,'ANALITIKA EU PROJEKATA'!$A$3:$A$501,"=575",'ANALITIKA EU PROJEKATA'!$P$3:$P$501,"=343")</f>
        <v>0</v>
      </c>
      <c r="R18" s="140">
        <f>SUMIFS('Plan rashoda za unos u SAP'!$I$3:$I$501,'Plan rashoda za unos u SAP'!$C$3:$C$501,"=576",'Plan rashoda za unos u SAP'!$M$3:$M$501,"=343")+SUMIFS('ANALITIKA EU PROJEKATA'!$G$3:$G$501,'ANALITIKA EU PROJEKATA'!$A$3:$A$501,"=576",'ANALITIKA EU PROJEKATA'!$P$3:$P$501,"=343")</f>
        <v>0</v>
      </c>
      <c r="S18" s="140">
        <f>SUMIFS('Plan rashoda za unos u SAP'!$I$3:$I$501,'Plan rashoda za unos u SAP'!$C$3:$C$501,"=61",'Plan rashoda za unos u SAP'!$M$3:$M$501,"=343")+SUMIFS('ANALITIKA EU PROJEKATA'!$G$3:$G$501,'ANALITIKA EU PROJEKATA'!$A$3:$A$501,"=61",'ANALITIKA EU PROJEKATA'!$P$3:$P$501,"=343")</f>
        <v>0</v>
      </c>
      <c r="T18" s="140">
        <f>SUMIFS('Plan rashoda za unos u SAP'!$I$3:$I$501,'Plan rashoda za unos u SAP'!$C$3:$C$501,"=63",'Plan rashoda za unos u SAP'!$M$3:$M$501,"=343")+SUMIFS('ANALITIKA EU PROJEKATA'!$G$3:$G$501,'ANALITIKA EU PROJEKATA'!$A$3:$A$501,"=63",'ANALITIKA EU PROJEKATA'!$P$3:$P$501,"=343")</f>
        <v>0</v>
      </c>
      <c r="U18" s="140">
        <f>SUMIFS('Plan rashoda za unos u SAP'!$I$3:$I$501,'Plan rashoda za unos u SAP'!$C$3:$C$501,"=71",'Plan rashoda za unos u SAP'!$M$3:$M$501,"=343")+SUMIFS('ANALITIKA EU PROJEKATA'!$G$3:$G$501,'ANALITIKA EU PROJEKATA'!$A$3:$A$501,"=71",'ANALITIKA EU PROJEKATA'!$P$3:$P$501,"=343")</f>
        <v>0</v>
      </c>
      <c r="V18" s="140">
        <f>SUMIFS('Plan rashoda za unos u SAP'!$I$3:$I$501,'Plan rashoda za unos u SAP'!$C$3:$C$501,"=81",'Plan rashoda za unos u SAP'!$M$3:$M$501,"=343")+SUMIFS('ANALITIKA EU PROJEKATA'!$G$3:$G$501,'ANALITIKA EU PROJEKATA'!$A$3:$A$501,"=81",'ANALITIKA EU PROJEKATA'!$P$3:$P$501,"=343")</f>
        <v>0</v>
      </c>
      <c r="W18" s="140">
        <f>SUMIFS('Plan rashoda za unos u SAP'!$I$3:$I$501,'Plan rashoda za unos u SAP'!$C$3:$C$501,"=83",'Plan rashoda za unos u SAP'!$M$3:$M$501,"=343")+SUMIFS('ANALITIKA EU PROJEKATA'!$G$3:$G$501,'ANALITIKA EU PROJEKATA'!$A$3:$A$501,"=83",'ANALITIKA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328</v>
      </c>
      <c r="D19" s="4">
        <f t="shared" si="1"/>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 t="shared" si="6"/>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188</v>
      </c>
      <c r="D20" s="14">
        <f t="shared" si="1"/>
        <v>0</v>
      </c>
      <c r="E20" s="140">
        <f>SUMIFS('Plan rashoda za unos u SAP'!$I$3:$I$501,'Plan rashoda za unos u SAP'!$C$3:$C$501,"=11",'Plan rashoda za unos u SAP'!$M$3:$M$501,"=351")+SUMIFS('ANALITIKA EU PROJEKATA'!$G$3:$G$501,'ANALITIKA EU PROJEKATA'!$A$3:$A$501,"=11",'ANALITIKA EU PROJEKATA'!$P$3:$P$501,"=351")</f>
        <v>0</v>
      </c>
      <c r="F20" s="140">
        <f>SUMIFS('Plan rashoda za unos u SAP'!$I$3:$I$501,'Plan rashoda za unos u SAP'!$C$3:$C$501,"=12",'Plan rashoda za unos u SAP'!$M$3:$M$501,"=351")+SUMIFS('ANALITIKA EU PROJEKATA'!$G$3:$G$501,'ANALITIKA EU PROJEKATA'!$A$3:$A$501,"=12",'ANALITIKA EU PROJEKATA'!$P$3:$P$501,"=351")</f>
        <v>0</v>
      </c>
      <c r="G20" s="140">
        <f>SUMIFS('Plan rashoda za unos u SAP'!$I$3:$I$501,'Plan rashoda za unos u SAP'!$C$3:$C$501,"=31",'Plan rashoda za unos u SAP'!$M$3:$M$501,"=351")+SUMIFS('ANALITIKA EU PROJEKATA'!$G$3:$G$501,'ANALITIKA EU PROJEKATA'!$A$3:$A$501,"=31",'ANALITIKA EU PROJEKATA'!$P$3:$P$501,"=351")</f>
        <v>0</v>
      </c>
      <c r="H20" s="140">
        <f>SUMIFS('Plan rashoda za unos u SAP'!$I$3:$I$501,'Plan rashoda za unos u SAP'!$C$3:$C$501,"=41",'Plan rashoda za unos u SAP'!$M$3:$M$501,"=351")+SUMIFS('ANALITIKA EU PROJEKATA'!$G$3:$G$501,'ANALITIKA EU PROJEKATA'!$A$3:$A$501,"=41",'ANALITIKA EU PROJEKATA'!$P$3:$P$501,"=351")</f>
        <v>0</v>
      </c>
      <c r="I20" s="140">
        <f>SUMIFS('Plan rashoda za unos u SAP'!$I$3:$I$501,'Plan rashoda za unos u SAP'!$C$3:$C$501,"=43",'Plan rashoda za unos u SAP'!$M$3:$M$501,"=351")+SUMIFS('ANALITIKA EU PROJEKATA'!$G$3:$G$501,'ANALITIKA EU PROJEKATA'!$A$3:$A$501,"=43",'ANALITIKA EU PROJEKATA'!$P$3:$P$501,"=351")</f>
        <v>0</v>
      </c>
      <c r="J20" s="140">
        <f>SUMIFS('Plan rashoda za unos u SAP'!$I$3:$I$501,'Plan rashoda za unos u SAP'!$C$3:$C$501,"=51",'Plan rashoda za unos u SAP'!$M$3:$M$501,"=351")+SUMIFS('ANALITIKA EU PROJEKATA'!$G$3:$G$501,'ANALITIKA EU PROJEKATA'!$A$3:$A$501,"=51",'ANALITIKA EU PROJEKATA'!$P$3:$P$501,"=351")</f>
        <v>0</v>
      </c>
      <c r="K20" s="140">
        <f>SUMIFS('Plan rashoda za unos u SAP'!$I$3:$I$501,'Plan rashoda za unos u SAP'!$C$3:$C$501,"=52",'Plan rashoda za unos u SAP'!$M$3:$M$501,"=351")+SUMIFS('ANALITIKA EU PROJEKATA'!$G$3:$G$501,'ANALITIKA EU PROJEKATA'!$A$3:$A$501,"=52",'ANALITIKA EU PROJEKATA'!$P$3:$P$501,"=351")</f>
        <v>0</v>
      </c>
      <c r="L20" s="140">
        <f>SUMIFS('Plan rashoda za unos u SAP'!$I$3:$I$501,'Plan rashoda za unos u SAP'!$C$3:$C$501,"=552",'Plan rashoda za unos u SAP'!$M$3:$M$501,"=351")+SUMIFS('ANALITIKA EU PROJEKATA'!$G$3:$G$501,'ANALITIKA EU PROJEKATA'!$A$3:$A$501,"=552",'ANALITIKA EU PROJEKATA'!$P$3:$P$501,"=351")</f>
        <v>0</v>
      </c>
      <c r="M20" s="140">
        <f>SUMIFS('Plan rashoda za unos u SAP'!$I$3:$I$501,'Plan rashoda za unos u SAP'!$C$3:$C$501,"=559",'Plan rashoda za unos u SAP'!$M$3:$M$501,"=351")+SUMIFS('ANALITIKA EU PROJEKATA'!$G$3:$G$501,'ANALITIKA EU PROJEKATA'!$A$3:$A$501,"=559",'ANALITIKA EU PROJEKATA'!$P$3:$P$501,"=351")</f>
        <v>0</v>
      </c>
      <c r="N20" s="140">
        <f>SUMIFS('Plan rashoda za unos u SAP'!$I$3:$I$501,'Plan rashoda za unos u SAP'!$C$3:$C$501,"=561",'Plan rashoda za unos u SAP'!$M$3:$M$501,"=351")+SUMIFS('ANALITIKA EU PROJEKATA'!$G$3:$G$501,'ANALITIKA EU PROJEKATA'!$A$3:$A$501,"=561",'ANALITIKA EU PROJEKATA'!$P$3:$P$501,"=351")</f>
        <v>0</v>
      </c>
      <c r="O20" s="140">
        <f>SUMIFS('Plan rashoda za unos u SAP'!$I$3:$I$501,'Plan rashoda za unos u SAP'!$C$3:$C$501,"=563",'Plan rashoda za unos u SAP'!$M$3:$M$501,"=351")+SUMIFS('ANALITIKA EU PROJEKATA'!$G$3:$G$501,'ANALITIKA EU PROJEKATA'!$A$3:$A$501,"=563",'ANALITIKA EU PROJEKATA'!$P$3:$P$501,"=351")</f>
        <v>0</v>
      </c>
      <c r="P20" s="140">
        <f>SUMIFS('Plan rashoda za unos u SAP'!$I$3:$I$501,'Plan rashoda za unos u SAP'!$C$3:$C$501,"=573",'Plan rashoda za unos u SAP'!$M$3:$M$501,"=351")+SUMIFS('ANALITIKA EU PROJEKATA'!$G$3:$G$501,'ANALITIKA EU PROJEKATA'!$A$3:$A$501,"=573",'ANALITIKA EU PROJEKATA'!$P$3:$P$501,"=351")</f>
        <v>0</v>
      </c>
      <c r="Q20" s="140">
        <f>SUMIFS('Plan rashoda za unos u SAP'!$I$3:$I$501,'Plan rashoda za unos u SAP'!$C$3:$C$501,"=575",'Plan rashoda za unos u SAP'!$M$3:$M$501,"=351")+SUMIFS('ANALITIKA EU PROJEKATA'!$G$3:$G$501,'ANALITIKA EU PROJEKATA'!$A$3:$A$501,"=575",'ANALITIKA EU PROJEKATA'!$P$3:$P$501,"=351")</f>
        <v>0</v>
      </c>
      <c r="R20" s="140">
        <f>SUMIFS('Plan rashoda za unos u SAP'!$I$3:$I$501,'Plan rashoda za unos u SAP'!$C$3:$C$501,"=576",'Plan rashoda za unos u SAP'!$M$3:$M$501,"=351")+SUMIFS('ANALITIKA EU PROJEKATA'!$G$3:$G$501,'ANALITIKA EU PROJEKATA'!$A$3:$A$501,"=576",'ANALITIKA EU PROJEKATA'!$P$3:$P$501,"=351")</f>
        <v>0</v>
      </c>
      <c r="S20" s="140">
        <f>SUMIFS('Plan rashoda za unos u SAP'!$I$3:$I$501,'Plan rashoda za unos u SAP'!$C$3:$C$501,"=61",'Plan rashoda za unos u SAP'!$M$3:$M$501,"=351")+SUMIFS('ANALITIKA EU PROJEKATA'!$G$3:$G$501,'ANALITIKA EU PROJEKATA'!$A$3:$A$501,"=61",'ANALITIKA EU PROJEKATA'!$P$3:$P$501,"=351")</f>
        <v>0</v>
      </c>
      <c r="T20" s="140">
        <f>SUMIFS('Plan rashoda za unos u SAP'!$I$3:$I$501,'Plan rashoda za unos u SAP'!$C$3:$C$501,"=63",'Plan rashoda za unos u SAP'!$M$3:$M$501,"=351")+SUMIFS('ANALITIKA EU PROJEKATA'!$G$3:$G$501,'ANALITIKA EU PROJEKATA'!$A$3:$A$501,"=63",'ANALITIKA EU PROJEKATA'!$P$3:$P$501,"=351")</f>
        <v>0</v>
      </c>
      <c r="U20" s="140">
        <f>SUMIFS('Plan rashoda za unos u SAP'!$I$3:$I$501,'Plan rashoda za unos u SAP'!$C$3:$C$501,"=71",'Plan rashoda za unos u SAP'!$M$3:$M$501,"=351")+SUMIFS('ANALITIKA EU PROJEKATA'!$G$3:$G$501,'ANALITIKA EU PROJEKATA'!$A$3:$A$501,"=71",'ANALITIKA EU PROJEKATA'!$P$3:$P$501,"=351")</f>
        <v>0</v>
      </c>
      <c r="V20" s="140">
        <f>SUMIFS('Plan rashoda za unos u SAP'!$I$3:$I$501,'Plan rashoda za unos u SAP'!$C$3:$C$501,"=81",'Plan rashoda za unos u SAP'!$M$3:$M$501,"=351")+SUMIFS('ANALITIKA EU PROJEKATA'!$G$3:$G$501,'ANALITIKA EU PROJEKATA'!$A$3:$A$501,"=81",'ANALITIKA EU PROJEKATA'!$P$3:$P$501,"=351")</f>
        <v>0</v>
      </c>
      <c r="W20" s="140">
        <f>SUMIFS('Plan rashoda za unos u SAP'!$I$3:$I$501,'Plan rashoda za unos u SAP'!$C$3:$C$501,"=83",'Plan rashoda za unos u SAP'!$M$3:$M$501,"=351")+SUMIFS('ANALITIKA EU PROJEKATA'!$G$3:$G$501,'ANALITIKA EU PROJEKATA'!$A$3:$A$501,"=83",'ANALITIKA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329</v>
      </c>
      <c r="D21" s="14">
        <f t="shared" si="1"/>
        <v>0</v>
      </c>
      <c r="E21" s="140">
        <f>SUMIFS('Plan rashoda za unos u SAP'!$I$3:$I$501,'Plan rashoda za unos u SAP'!$C$3:$C$501,"=11",'Plan rashoda za unos u SAP'!$M$3:$M$501,"=352")+SUMIFS('ANALITIKA EU PROJEKATA'!$G$3:$G$501,'ANALITIKA EU PROJEKATA'!$A$3:$A$501,"=11",'ANALITIKA EU PROJEKATA'!$P$3:$P$501,"=352")</f>
        <v>0</v>
      </c>
      <c r="F21" s="140">
        <f>SUMIFS('Plan rashoda za unos u SAP'!$I$3:$I$501,'Plan rashoda za unos u SAP'!$C$3:$C$501,"=12",'Plan rashoda za unos u SAP'!$M$3:$M$501,"=352")+SUMIFS('ANALITIKA EU PROJEKATA'!$G$3:$G$501,'ANALITIKA EU PROJEKATA'!$A$3:$A$501,"=12",'ANALITIKA EU PROJEKATA'!$P$3:$P$501,"=352")</f>
        <v>0</v>
      </c>
      <c r="G21" s="140">
        <f>SUMIFS('Plan rashoda za unos u SAP'!$I$3:$I$501,'Plan rashoda za unos u SAP'!$C$3:$C$501,"=31",'Plan rashoda za unos u SAP'!$M$3:$M$501,"=352")+SUMIFS('ANALITIKA EU PROJEKATA'!$G$3:$G$501,'ANALITIKA EU PROJEKATA'!$A$3:$A$501,"=31",'ANALITIKA EU PROJEKATA'!$P$3:$P$501,"=352")</f>
        <v>0</v>
      </c>
      <c r="H21" s="140">
        <f>SUMIFS('Plan rashoda za unos u SAP'!$I$3:$I$501,'Plan rashoda za unos u SAP'!$C$3:$C$501,"=41",'Plan rashoda za unos u SAP'!$M$3:$M$501,"=352")+SUMIFS('ANALITIKA EU PROJEKATA'!$G$3:$G$501,'ANALITIKA EU PROJEKATA'!$A$3:$A$501,"=41",'ANALITIKA EU PROJEKATA'!$P$3:$P$501,"=352")</f>
        <v>0</v>
      </c>
      <c r="I21" s="140">
        <f>SUMIFS('Plan rashoda za unos u SAP'!$I$3:$I$501,'Plan rashoda za unos u SAP'!$C$3:$C$501,"=43",'Plan rashoda za unos u SAP'!$M$3:$M$501,"=352")+SUMIFS('ANALITIKA EU PROJEKATA'!$G$3:$G$501,'ANALITIKA EU PROJEKATA'!$A$3:$A$501,"=43",'ANALITIKA EU PROJEKATA'!$P$3:$P$501,"=352")</f>
        <v>0</v>
      </c>
      <c r="J21" s="140">
        <f>SUMIFS('Plan rashoda za unos u SAP'!$I$3:$I$501,'Plan rashoda za unos u SAP'!$C$3:$C$501,"=51",'Plan rashoda za unos u SAP'!$M$3:$M$501,"=352")+SUMIFS('ANALITIKA EU PROJEKATA'!$G$3:$G$501,'ANALITIKA EU PROJEKATA'!$A$3:$A$501,"=51",'ANALITIKA EU PROJEKATA'!$P$3:$P$501,"=352")</f>
        <v>0</v>
      </c>
      <c r="K21" s="140">
        <f>SUMIFS('Plan rashoda za unos u SAP'!$I$3:$I$501,'Plan rashoda za unos u SAP'!$C$3:$C$501,"=52",'Plan rashoda za unos u SAP'!$M$3:$M$501,"=352")+SUMIFS('ANALITIKA EU PROJEKATA'!$G$3:$G$501,'ANALITIKA EU PROJEKATA'!$A$3:$A$501,"=52",'ANALITIKA EU PROJEKATA'!$P$3:$P$501,"=352")</f>
        <v>0</v>
      </c>
      <c r="L21" s="140">
        <f>SUMIFS('Plan rashoda za unos u SAP'!$I$3:$I$501,'Plan rashoda za unos u SAP'!$C$3:$C$501,"=552",'Plan rashoda za unos u SAP'!$M$3:$M$501,"=352")+SUMIFS('ANALITIKA EU PROJEKATA'!$G$3:$G$501,'ANALITIKA EU PROJEKATA'!$A$3:$A$501,"=552",'ANALITIKA EU PROJEKATA'!$P$3:$P$501,"=352")</f>
        <v>0</v>
      </c>
      <c r="M21" s="140">
        <f>SUMIFS('Plan rashoda za unos u SAP'!$I$3:$I$501,'Plan rashoda za unos u SAP'!$C$3:$C$501,"=559",'Plan rashoda za unos u SAP'!$M$3:$M$501,"=352")+SUMIFS('ANALITIKA EU PROJEKATA'!$G$3:$G$501,'ANALITIKA EU PROJEKATA'!$A$3:$A$501,"=559",'ANALITIKA EU PROJEKATA'!$P$3:$P$501,"=352")</f>
        <v>0</v>
      </c>
      <c r="N21" s="140">
        <f>SUMIFS('Plan rashoda za unos u SAP'!$I$3:$I$501,'Plan rashoda za unos u SAP'!$C$3:$C$501,"=561",'Plan rashoda za unos u SAP'!$M$3:$M$501,"=352")+SUMIFS('ANALITIKA EU PROJEKATA'!$G$3:$G$501,'ANALITIKA EU PROJEKATA'!$A$3:$A$501,"=561",'ANALITIKA EU PROJEKATA'!$P$3:$P$501,"=352")</f>
        <v>0</v>
      </c>
      <c r="O21" s="140">
        <f>SUMIFS('Plan rashoda za unos u SAP'!$I$3:$I$501,'Plan rashoda za unos u SAP'!$C$3:$C$501,"=563",'Plan rashoda za unos u SAP'!$M$3:$M$501,"=352")+SUMIFS('ANALITIKA EU PROJEKATA'!$G$3:$G$501,'ANALITIKA EU PROJEKATA'!$A$3:$A$501,"=563",'ANALITIKA EU PROJEKATA'!$P$3:$P$501,"=352")</f>
        <v>0</v>
      </c>
      <c r="P21" s="140">
        <f>SUMIFS('Plan rashoda za unos u SAP'!$I$3:$I$501,'Plan rashoda za unos u SAP'!$C$3:$C$501,"=573",'Plan rashoda za unos u SAP'!$M$3:$M$501,"=352")+SUMIFS('ANALITIKA EU PROJEKATA'!$G$3:$G$501,'ANALITIKA EU PROJEKATA'!$A$3:$A$501,"=573",'ANALITIKA EU PROJEKATA'!$P$3:$P$501,"=352")</f>
        <v>0</v>
      </c>
      <c r="Q21" s="140">
        <f>SUMIFS('Plan rashoda za unos u SAP'!$I$3:$I$501,'Plan rashoda za unos u SAP'!$C$3:$C$501,"=575",'Plan rashoda za unos u SAP'!$M$3:$M$501,"=352")+SUMIFS('ANALITIKA EU PROJEKATA'!$G$3:$G$501,'ANALITIKA EU PROJEKATA'!$A$3:$A$501,"=575",'ANALITIKA EU PROJEKATA'!$P$3:$P$501,"=352")</f>
        <v>0</v>
      </c>
      <c r="R21" s="140">
        <f>SUMIFS('Plan rashoda za unos u SAP'!$I$3:$I$501,'Plan rashoda za unos u SAP'!$C$3:$C$501,"=576",'Plan rashoda za unos u SAP'!$M$3:$M$501,"=352")+SUMIFS('ANALITIKA EU PROJEKATA'!$G$3:$G$501,'ANALITIKA EU PROJEKATA'!$A$3:$A$501,"=576",'ANALITIKA EU PROJEKATA'!$P$3:$P$501,"=352")</f>
        <v>0</v>
      </c>
      <c r="S21" s="140">
        <f>SUMIFS('Plan rashoda za unos u SAP'!$I$3:$I$501,'Plan rashoda za unos u SAP'!$C$3:$C$501,"=61",'Plan rashoda za unos u SAP'!$M$3:$M$501,"=352")+SUMIFS('ANALITIKA EU PROJEKATA'!$G$3:$G$501,'ANALITIKA EU PROJEKATA'!$A$3:$A$501,"=61",'ANALITIKA EU PROJEKATA'!$P$3:$P$501,"=352")</f>
        <v>0</v>
      </c>
      <c r="T21" s="140">
        <f>SUMIFS('Plan rashoda za unos u SAP'!$I$3:$I$501,'Plan rashoda za unos u SAP'!$C$3:$C$501,"=63",'Plan rashoda za unos u SAP'!$M$3:$M$501,"=352")+SUMIFS('ANALITIKA EU PROJEKATA'!$G$3:$G$501,'ANALITIKA EU PROJEKATA'!$A$3:$A$501,"=63",'ANALITIKA EU PROJEKATA'!$P$3:$P$501,"=352")</f>
        <v>0</v>
      </c>
      <c r="U21" s="140">
        <f>SUMIFS('Plan rashoda za unos u SAP'!$I$3:$I$501,'Plan rashoda za unos u SAP'!$C$3:$C$501,"=71",'Plan rashoda za unos u SAP'!$M$3:$M$501,"=352")+SUMIFS('ANALITIKA EU PROJEKATA'!$G$3:$G$501,'ANALITIKA EU PROJEKATA'!$A$3:$A$501,"=71",'ANALITIKA EU PROJEKATA'!$P$3:$P$501,"=352")</f>
        <v>0</v>
      </c>
      <c r="V21" s="140">
        <f>SUMIFS('Plan rashoda za unos u SAP'!$I$3:$I$501,'Plan rashoda za unos u SAP'!$C$3:$C$501,"=81",'Plan rashoda za unos u SAP'!$M$3:$M$501,"=352")+SUMIFS('ANALITIKA EU PROJEKATA'!$G$3:$G$501,'ANALITIKA EU PROJEKATA'!$A$3:$A$501,"=81",'ANALITIKA EU PROJEKATA'!$P$3:$P$501,"=352")</f>
        <v>0</v>
      </c>
      <c r="W21" s="140">
        <f>SUMIFS('Plan rashoda za unos u SAP'!$I$3:$I$501,'Plan rashoda za unos u SAP'!$C$3:$C$501,"=83",'Plan rashoda za unos u SAP'!$M$3:$M$501,"=352")+SUMIFS('ANALITIKA EU PROJEKATA'!$G$3:$G$501,'ANALITIKA EU PROJEKATA'!$A$3:$A$501,"=83",'ANALITIKA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330</v>
      </c>
      <c r="D22" s="14">
        <f t="shared" si="1"/>
        <v>0</v>
      </c>
      <c r="E22" s="140">
        <f>SUMIFS('Plan rashoda za unos u SAP'!$I$3:$I$501,'Plan rashoda za unos u SAP'!$C$3:$C$501,"=11",'Plan rashoda za unos u SAP'!$M$3:$M$501,"=353")+SUMIFS('ANALITIKA EU PROJEKATA'!$G$3:$G$501,'ANALITIKA EU PROJEKATA'!$A$3:$A$501,"=11",'ANALITIKA EU PROJEKATA'!$P$3:$P$501,"=353")</f>
        <v>0</v>
      </c>
      <c r="F22" s="140">
        <f>SUMIFS('Plan rashoda za unos u SAP'!$I$3:$I$501,'Plan rashoda za unos u SAP'!$C$3:$C$501,"=12",'Plan rashoda za unos u SAP'!$M$3:$M$501,"=353")+SUMIFS('ANALITIKA EU PROJEKATA'!$G$3:$G$501,'ANALITIKA EU PROJEKATA'!$A$3:$A$501,"=12",'ANALITIKA EU PROJEKATA'!$P$3:$P$501,"=353")</f>
        <v>0</v>
      </c>
      <c r="G22" s="140">
        <f>SUMIFS('Plan rashoda za unos u SAP'!$I$3:$I$501,'Plan rashoda za unos u SAP'!$C$3:$C$501,"=31",'Plan rashoda za unos u SAP'!$M$3:$M$501,"=353")+SUMIFS('ANALITIKA EU PROJEKATA'!$G$3:$G$501,'ANALITIKA EU PROJEKATA'!$A$3:$A$501,"=31",'ANALITIKA EU PROJEKATA'!$P$3:$P$501,"=353")</f>
        <v>0</v>
      </c>
      <c r="H22" s="140">
        <f>SUMIFS('Plan rashoda za unos u SAP'!$I$3:$I$501,'Plan rashoda za unos u SAP'!$C$3:$C$501,"=41",'Plan rashoda za unos u SAP'!$M$3:$M$501,"=353")+SUMIFS('ANALITIKA EU PROJEKATA'!$G$3:$G$501,'ANALITIKA EU PROJEKATA'!$A$3:$A$501,"=41",'ANALITIKA EU PROJEKATA'!$P$3:$P$501,"=353")</f>
        <v>0</v>
      </c>
      <c r="I22" s="140">
        <f>SUMIFS('Plan rashoda za unos u SAP'!$I$3:$I$501,'Plan rashoda za unos u SAP'!$C$3:$C$501,"=43",'Plan rashoda za unos u SAP'!$M$3:$M$501,"=353")+SUMIFS('ANALITIKA EU PROJEKATA'!$G$3:$G$501,'ANALITIKA EU PROJEKATA'!$A$3:$A$501,"=43",'ANALITIKA EU PROJEKATA'!$P$3:$P$501,"=353")</f>
        <v>0</v>
      </c>
      <c r="J22" s="140">
        <f>SUMIFS('Plan rashoda za unos u SAP'!$I$3:$I$501,'Plan rashoda za unos u SAP'!$C$3:$C$501,"=51",'Plan rashoda za unos u SAP'!$M$3:$M$501,"=353")+SUMIFS('ANALITIKA EU PROJEKATA'!$G$3:$G$501,'ANALITIKA EU PROJEKATA'!$A$3:$A$501,"=51",'ANALITIKA EU PROJEKATA'!$P$3:$P$501,"=353")</f>
        <v>0</v>
      </c>
      <c r="K22" s="140">
        <f>SUMIFS('Plan rashoda za unos u SAP'!$I$3:$I$501,'Plan rashoda za unos u SAP'!$C$3:$C$501,"=52",'Plan rashoda za unos u SAP'!$M$3:$M$501,"=353")+SUMIFS('ANALITIKA EU PROJEKATA'!$G$3:$G$501,'ANALITIKA EU PROJEKATA'!$A$3:$A$501,"=52",'ANALITIKA EU PROJEKATA'!$P$3:$P$501,"=353")</f>
        <v>0</v>
      </c>
      <c r="L22" s="140">
        <f>SUMIFS('Plan rashoda za unos u SAP'!$I$3:$I$501,'Plan rashoda za unos u SAP'!$C$3:$C$501,"=552",'Plan rashoda za unos u SAP'!$M$3:$M$501,"=353")+SUMIFS('ANALITIKA EU PROJEKATA'!$G$3:$G$501,'ANALITIKA EU PROJEKATA'!$A$3:$A$501,"=552",'ANALITIKA EU PROJEKATA'!$P$3:$P$501,"=353")</f>
        <v>0</v>
      </c>
      <c r="M22" s="140">
        <f>SUMIFS('Plan rashoda za unos u SAP'!$I$3:$I$501,'Plan rashoda za unos u SAP'!$C$3:$C$501,"=559",'Plan rashoda za unos u SAP'!$M$3:$M$501,"=353")+SUMIFS('ANALITIKA EU PROJEKATA'!$G$3:$G$501,'ANALITIKA EU PROJEKATA'!$A$3:$A$501,"=559",'ANALITIKA EU PROJEKATA'!$P$3:$P$501,"=353")</f>
        <v>0</v>
      </c>
      <c r="N22" s="140">
        <f>SUMIFS('Plan rashoda za unos u SAP'!$I$3:$I$501,'Plan rashoda za unos u SAP'!$C$3:$C$501,"=561",'Plan rashoda za unos u SAP'!$M$3:$M$501,"=353")+SUMIFS('ANALITIKA EU PROJEKATA'!$G$3:$G$501,'ANALITIKA EU PROJEKATA'!$A$3:$A$501,"=561",'ANALITIKA EU PROJEKATA'!$P$3:$P$501,"=353")</f>
        <v>0</v>
      </c>
      <c r="O22" s="140">
        <f>SUMIFS('Plan rashoda za unos u SAP'!$I$3:$I$501,'Plan rashoda za unos u SAP'!$C$3:$C$501,"=563",'Plan rashoda za unos u SAP'!$M$3:$M$501,"=353")+SUMIFS('ANALITIKA EU PROJEKATA'!$G$3:$G$501,'ANALITIKA EU PROJEKATA'!$A$3:$A$501,"=563",'ANALITIKA EU PROJEKATA'!$P$3:$P$501,"=353")</f>
        <v>0</v>
      </c>
      <c r="P22" s="140">
        <f>SUMIFS('Plan rashoda za unos u SAP'!$I$3:$I$501,'Plan rashoda za unos u SAP'!$C$3:$C$501,"=573",'Plan rashoda za unos u SAP'!$M$3:$M$501,"=353")+SUMIFS('ANALITIKA EU PROJEKATA'!$G$3:$G$501,'ANALITIKA EU PROJEKATA'!$A$3:$A$501,"=573",'ANALITIKA EU PROJEKATA'!$P$3:$P$501,"=353")</f>
        <v>0</v>
      </c>
      <c r="Q22" s="140">
        <f>SUMIFS('Plan rashoda za unos u SAP'!$I$3:$I$501,'Plan rashoda za unos u SAP'!$C$3:$C$501,"=575",'Plan rashoda za unos u SAP'!$M$3:$M$501,"=353")+SUMIFS('ANALITIKA EU PROJEKATA'!$G$3:$G$501,'ANALITIKA EU PROJEKATA'!$A$3:$A$501,"=575",'ANALITIKA EU PROJEKATA'!$P$3:$P$501,"=353")</f>
        <v>0</v>
      </c>
      <c r="R22" s="140">
        <f>SUMIFS('Plan rashoda za unos u SAP'!$I$3:$I$501,'Plan rashoda za unos u SAP'!$C$3:$C$501,"=576",'Plan rashoda za unos u SAP'!$M$3:$M$501,"=353")+SUMIFS('ANALITIKA EU PROJEKATA'!$G$3:$G$501,'ANALITIKA EU PROJEKATA'!$A$3:$A$501,"=576",'ANALITIKA EU PROJEKATA'!$P$3:$P$501,"=353")</f>
        <v>0</v>
      </c>
      <c r="S22" s="140">
        <f>SUMIFS('Plan rashoda za unos u SAP'!$I$3:$I$501,'Plan rashoda za unos u SAP'!$C$3:$C$501,"=61",'Plan rashoda za unos u SAP'!$M$3:$M$501,"=353")+SUMIFS('ANALITIKA EU PROJEKATA'!$G$3:$G$501,'ANALITIKA EU PROJEKATA'!$A$3:$A$501,"=61",'ANALITIKA EU PROJEKATA'!$P$3:$P$501,"=353")</f>
        <v>0</v>
      </c>
      <c r="T22" s="140">
        <f>SUMIFS('Plan rashoda za unos u SAP'!$I$3:$I$501,'Plan rashoda za unos u SAP'!$C$3:$C$501,"=63",'Plan rashoda za unos u SAP'!$M$3:$M$501,"=353")+SUMIFS('ANALITIKA EU PROJEKATA'!$G$3:$G$501,'ANALITIKA EU PROJEKATA'!$A$3:$A$501,"=63",'ANALITIKA EU PROJEKATA'!$P$3:$P$501,"=353")</f>
        <v>0</v>
      </c>
      <c r="U22" s="140">
        <f>SUMIFS('Plan rashoda za unos u SAP'!$I$3:$I$501,'Plan rashoda za unos u SAP'!$C$3:$C$501,"=71",'Plan rashoda za unos u SAP'!$M$3:$M$501,"=353")+SUMIFS('ANALITIKA EU PROJEKATA'!$G$3:$G$501,'ANALITIKA EU PROJEKATA'!$A$3:$A$501,"=71",'ANALITIKA EU PROJEKATA'!$P$3:$P$501,"=353")</f>
        <v>0</v>
      </c>
      <c r="V22" s="140">
        <f>SUMIFS('Plan rashoda za unos u SAP'!$I$3:$I$501,'Plan rashoda za unos u SAP'!$C$3:$C$501,"=81",'Plan rashoda za unos u SAP'!$M$3:$M$501,"=353")+SUMIFS('ANALITIKA EU PROJEKATA'!$G$3:$G$501,'ANALITIKA EU PROJEKATA'!$A$3:$A$501,"=81",'ANALITIKA EU PROJEKATA'!$P$3:$P$501,"=353")</f>
        <v>0</v>
      </c>
      <c r="W22" s="140">
        <f>SUMIFS('Plan rashoda za unos u SAP'!$I$3:$I$501,'Plan rashoda za unos u SAP'!$C$3:$C$501,"=83",'Plan rashoda za unos u SAP'!$M$3:$M$501,"=353")+SUMIFS('ANALITIKA EU PROJEKATA'!$G$3:$G$501,'ANALITIKA EU PROJEKATA'!$A$3:$A$501,"=83",'ANALITIKA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212</v>
      </c>
      <c r="D23" s="4">
        <f t="shared" si="1"/>
        <v>0</v>
      </c>
      <c r="E23" s="78">
        <f t="shared" ref="E23:W23" si="7">SUM(E24:E29)</f>
        <v>0</v>
      </c>
      <c r="F23" s="78">
        <f t="shared" si="7"/>
        <v>0</v>
      </c>
      <c r="G23" s="78">
        <f t="shared" si="7"/>
        <v>0</v>
      </c>
      <c r="H23" s="78">
        <f>SUM(H24:H29)</f>
        <v>0</v>
      </c>
      <c r="I23" s="78">
        <f t="shared" si="7"/>
        <v>0</v>
      </c>
      <c r="J23" s="78">
        <f t="shared" si="7"/>
        <v>0</v>
      </c>
      <c r="K23" s="78">
        <f t="shared" si="7"/>
        <v>0</v>
      </c>
      <c r="L23" s="78">
        <f>SUM(L24:L29)</f>
        <v>0</v>
      </c>
      <c r="M23" s="78">
        <f t="shared" si="7"/>
        <v>0</v>
      </c>
      <c r="N23" s="78">
        <f t="shared" si="7"/>
        <v>0</v>
      </c>
      <c r="O23" s="78">
        <f t="shared" si="7"/>
        <v>0</v>
      </c>
      <c r="P23" s="78">
        <f>SUM(P24:P29)</f>
        <v>0</v>
      </c>
      <c r="Q23" s="78">
        <f>SUM(Q24:Q29)</f>
        <v>0</v>
      </c>
      <c r="R23" s="78">
        <f>SUM(R24:R29)</f>
        <v>0</v>
      </c>
      <c r="S23" s="78">
        <f t="shared" si="7"/>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331</v>
      </c>
      <c r="D24" s="14">
        <f>SUM(E24:W24)</f>
        <v>0</v>
      </c>
      <c r="E24" s="140">
        <f>SUMIFS('Plan rashoda za unos u SAP'!$I$3:$I$501,'Plan rashoda za unos u SAP'!$C$3:$C$501,"=11",'Plan rashoda za unos u SAP'!$M$3:$M$501,"=361")+SUMIFS('ANALITIKA EU PROJEKATA'!$G$3:$G$501,'ANALITIKA EU PROJEKATA'!$A$3:$A$501,"=11",'ANALITIKA EU PROJEKATA'!$P$3:$P$501,"=361")</f>
        <v>0</v>
      </c>
      <c r="F24" s="140">
        <f>SUMIFS('Plan rashoda za unos u SAP'!$I$3:$I$501,'Plan rashoda za unos u SAP'!$C$3:$C$501,"=12",'Plan rashoda za unos u SAP'!$M$3:$M$501,"=361")+SUMIFS('ANALITIKA EU PROJEKATA'!$G$3:$G$501,'ANALITIKA EU PROJEKATA'!$A$3:$A$501,"=12",'ANALITIKA EU PROJEKATA'!$P$3:$P$501,"=361")</f>
        <v>0</v>
      </c>
      <c r="G24" s="140">
        <f>SUMIFS('Plan rashoda za unos u SAP'!$I$3:$I$501,'Plan rashoda za unos u SAP'!$C$3:$C$501,"=31",'Plan rashoda za unos u SAP'!$M$3:$M$501,"=361")+SUMIFS('ANALITIKA EU PROJEKATA'!$G$3:$G$501,'ANALITIKA EU PROJEKATA'!$A$3:$A$501,"=31",'ANALITIKA EU PROJEKATA'!$P$3:$P$501,"=361")</f>
        <v>0</v>
      </c>
      <c r="H24" s="140">
        <f>SUMIFS('Plan rashoda za unos u SAP'!$I$3:$I$501,'Plan rashoda za unos u SAP'!$C$3:$C$501,"=41",'Plan rashoda za unos u SAP'!$M$3:$M$501,"=361")+SUMIFS('ANALITIKA EU PROJEKATA'!$G$3:$G$501,'ANALITIKA EU PROJEKATA'!$A$3:$A$501,"=41",'ANALITIKA EU PROJEKATA'!$P$3:$P$501,"=361")</f>
        <v>0</v>
      </c>
      <c r="I24" s="140">
        <f>SUMIFS('Plan rashoda za unos u SAP'!$I$3:$I$501,'Plan rashoda za unos u SAP'!$C$3:$C$501,"=43",'Plan rashoda za unos u SAP'!$M$3:$M$501,"=361")+SUMIFS('ANALITIKA EU PROJEKATA'!$G$3:$G$501,'ANALITIKA EU PROJEKATA'!$A$3:$A$501,"=43",'ANALITIKA EU PROJEKATA'!$P$3:$P$501,"=361")</f>
        <v>0</v>
      </c>
      <c r="J24" s="140">
        <f>SUMIFS('Plan rashoda za unos u SAP'!$I$3:$I$501,'Plan rashoda za unos u SAP'!$C$3:$C$501,"=51",'Plan rashoda za unos u SAP'!$M$3:$M$501,"=361")+SUMIFS('ANALITIKA EU PROJEKATA'!$G$3:$G$501,'ANALITIKA EU PROJEKATA'!$A$3:$A$501,"=51",'ANALITIKA EU PROJEKATA'!$P$3:$P$501,"=361")</f>
        <v>0</v>
      </c>
      <c r="K24" s="140">
        <f>SUMIFS('Plan rashoda za unos u SAP'!$I$3:$I$501,'Plan rashoda za unos u SAP'!$C$3:$C$501,"=52",'Plan rashoda za unos u SAP'!$M$3:$M$501,"=361")+SUMIFS('ANALITIKA EU PROJEKATA'!$G$3:$G$501,'ANALITIKA EU PROJEKATA'!$A$3:$A$501,"=52",'ANALITIKA EU PROJEKATA'!$P$3:$P$501,"=361")</f>
        <v>0</v>
      </c>
      <c r="L24" s="140">
        <f>SUMIFS('Plan rashoda za unos u SAP'!$I$3:$I$501,'Plan rashoda za unos u SAP'!$C$3:$C$501,"=552",'Plan rashoda za unos u SAP'!$M$3:$M$501,"=361")+SUMIFS('ANALITIKA EU PROJEKATA'!$G$3:$G$501,'ANALITIKA EU PROJEKATA'!$A$3:$A$501,"=552",'ANALITIKA EU PROJEKATA'!$P$3:$P$501,"=361")</f>
        <v>0</v>
      </c>
      <c r="M24" s="140">
        <f>SUMIFS('Plan rashoda za unos u SAP'!$I$3:$I$501,'Plan rashoda za unos u SAP'!$C$3:$C$501,"=559",'Plan rashoda za unos u SAP'!$M$3:$M$501,"=361")+SUMIFS('ANALITIKA EU PROJEKATA'!$G$3:$G$501,'ANALITIKA EU PROJEKATA'!$A$3:$A$501,"=559",'ANALITIKA EU PROJEKATA'!$P$3:$P$501,"=361")</f>
        <v>0</v>
      </c>
      <c r="N24" s="140">
        <f>SUMIFS('Plan rashoda za unos u SAP'!$I$3:$I$501,'Plan rashoda za unos u SAP'!$C$3:$C$501,"=561",'Plan rashoda za unos u SAP'!$M$3:$M$501,"=361")+SUMIFS('ANALITIKA EU PROJEKATA'!$G$3:$G$501,'ANALITIKA EU PROJEKATA'!$A$3:$A$501,"=561",'ANALITIKA EU PROJEKATA'!$P$3:$P$501,"=361")</f>
        <v>0</v>
      </c>
      <c r="O24" s="140">
        <f>SUMIFS('Plan rashoda za unos u SAP'!$I$3:$I$501,'Plan rashoda za unos u SAP'!$C$3:$C$501,"=563",'Plan rashoda za unos u SAP'!$M$3:$M$501,"=361")+SUMIFS('ANALITIKA EU PROJEKATA'!$G$3:$G$501,'ANALITIKA EU PROJEKATA'!$A$3:$A$501,"=563",'ANALITIKA EU PROJEKATA'!$P$3:$P$501,"=361")</f>
        <v>0</v>
      </c>
      <c r="P24" s="140">
        <f>SUMIFS('Plan rashoda za unos u SAP'!$I$3:$I$501,'Plan rashoda za unos u SAP'!$C$3:$C$501,"=573",'Plan rashoda za unos u SAP'!$M$3:$M$501,"=361")+SUMIFS('ANALITIKA EU PROJEKATA'!$G$3:$G$501,'ANALITIKA EU PROJEKATA'!$A$3:$A$501,"=573",'ANALITIKA EU PROJEKATA'!$P$3:$P$501,"=361")</f>
        <v>0</v>
      </c>
      <c r="Q24" s="140">
        <f>SUMIFS('Plan rashoda za unos u SAP'!$I$3:$I$501,'Plan rashoda za unos u SAP'!$C$3:$C$501,"=575",'Plan rashoda za unos u SAP'!$M$3:$M$501,"=361")+SUMIFS('ANALITIKA EU PROJEKATA'!$G$3:$G$501,'ANALITIKA EU PROJEKATA'!$A$3:$A$501,"=575",'ANALITIKA EU PROJEKATA'!$P$3:$P$501,"=361")</f>
        <v>0</v>
      </c>
      <c r="R24" s="140">
        <f>SUMIFS('Plan rashoda za unos u SAP'!$I$3:$I$501,'Plan rashoda za unos u SAP'!$C$3:$C$501,"=576",'Plan rashoda za unos u SAP'!$M$3:$M$501,"=361")+SUMIFS('ANALITIKA EU PROJEKATA'!$G$3:$G$501,'ANALITIKA EU PROJEKATA'!$A$3:$A$501,"=576",'ANALITIKA EU PROJEKATA'!$P$3:$P$501,"=361")</f>
        <v>0</v>
      </c>
      <c r="S24" s="140">
        <f>SUMIFS('Plan rashoda za unos u SAP'!$I$3:$I$501,'Plan rashoda za unos u SAP'!$C$3:$C$501,"=61",'Plan rashoda za unos u SAP'!$M$3:$M$501,"=361")+SUMIFS('ANALITIKA EU PROJEKATA'!$G$3:$G$501,'ANALITIKA EU PROJEKATA'!$A$3:$A$501,"=61",'ANALITIKA EU PROJEKATA'!$P$3:$P$501,"=361")</f>
        <v>0</v>
      </c>
      <c r="T24" s="140">
        <f>SUMIFS('Plan rashoda za unos u SAP'!$I$3:$I$501,'Plan rashoda za unos u SAP'!$C$3:$C$501,"=63",'Plan rashoda za unos u SAP'!$M$3:$M$501,"=361")+SUMIFS('ANALITIKA EU PROJEKATA'!$G$3:$G$501,'ANALITIKA EU PROJEKATA'!$A$3:$A$501,"=63",'ANALITIKA EU PROJEKATA'!$P$3:$P$501,"=361")</f>
        <v>0</v>
      </c>
      <c r="U24" s="140">
        <f>SUMIFS('Plan rashoda za unos u SAP'!$I$3:$I$501,'Plan rashoda za unos u SAP'!$C$3:$C$501,"=71",'Plan rashoda za unos u SAP'!$M$3:$M$501,"=361")+SUMIFS('ANALITIKA EU PROJEKATA'!$G$3:$G$501,'ANALITIKA EU PROJEKATA'!$A$3:$A$501,"=71",'ANALITIKA EU PROJEKATA'!$P$3:$P$501,"=361")</f>
        <v>0</v>
      </c>
      <c r="V24" s="140">
        <f>SUMIFS('Plan rashoda za unos u SAP'!$I$3:$I$501,'Plan rashoda za unos u SAP'!$C$3:$C$501,"=81",'Plan rashoda za unos u SAP'!$M$3:$M$501,"=361")+SUMIFS('ANALITIKA EU PROJEKATA'!$G$3:$G$501,'ANALITIKA EU PROJEKATA'!$A$3:$A$501,"=81",'ANALITIKA EU PROJEKATA'!$P$3:$P$501,"=361")</f>
        <v>0</v>
      </c>
      <c r="W24" s="140">
        <f>SUMIFS('Plan rashoda za unos u SAP'!$I$3:$I$501,'Plan rashoda za unos u SAP'!$C$3:$C$501,"=83",'Plan rashoda za unos u SAP'!$M$3:$M$501,"=361")+SUMIFS('ANALITIKA EU PROJEKATA'!$G$3:$G$501,'ANALITIKA EU PROJEKATA'!$A$3:$A$501,"=83",'ANALITIKA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332</v>
      </c>
      <c r="D25" s="14">
        <f t="shared" si="1"/>
        <v>0</v>
      </c>
      <c r="E25" s="140">
        <f>SUMIFS('Plan rashoda za unos u SAP'!$I$3:$I$501,'Plan rashoda za unos u SAP'!$C$3:$C$501,"=11",'Plan rashoda za unos u SAP'!$M$3:$M$501,"=362")+SUMIFS('ANALITIKA EU PROJEKATA'!$G$3:$G$501,'ANALITIKA EU PROJEKATA'!$A$3:$A$501,"=11",'ANALITIKA EU PROJEKATA'!$P$3:$P$501,"=362")</f>
        <v>0</v>
      </c>
      <c r="F25" s="140">
        <f>SUMIFS('Plan rashoda za unos u SAP'!$I$3:$I$501,'Plan rashoda za unos u SAP'!$C$3:$C$501,"=12",'Plan rashoda za unos u SAP'!$M$3:$M$501,"=362")+SUMIFS('ANALITIKA EU PROJEKATA'!$G$3:$G$501,'ANALITIKA EU PROJEKATA'!$A$3:$A$501,"=12",'ANALITIKA EU PROJEKATA'!$P$3:$P$501,"=362")</f>
        <v>0</v>
      </c>
      <c r="G25" s="140">
        <f>SUMIFS('Plan rashoda za unos u SAP'!$I$3:$I$501,'Plan rashoda za unos u SAP'!$C$3:$C$501,"=31",'Plan rashoda za unos u SAP'!$M$3:$M$501,"=362")+SUMIFS('ANALITIKA EU PROJEKATA'!$G$3:$G$501,'ANALITIKA EU PROJEKATA'!$A$3:$A$501,"=31",'ANALITIKA EU PROJEKATA'!$P$3:$P$501,"=362")</f>
        <v>0</v>
      </c>
      <c r="H25" s="140">
        <f>SUMIFS('Plan rashoda za unos u SAP'!$I$3:$I$501,'Plan rashoda za unos u SAP'!$C$3:$C$501,"=41",'Plan rashoda za unos u SAP'!$M$3:$M$501,"=362")+SUMIFS('ANALITIKA EU PROJEKATA'!$G$3:$G$501,'ANALITIKA EU PROJEKATA'!$A$3:$A$501,"=41",'ANALITIKA EU PROJEKATA'!$P$3:$P$501,"=362")</f>
        <v>0</v>
      </c>
      <c r="I25" s="140">
        <f>SUMIFS('Plan rashoda za unos u SAP'!$I$3:$I$501,'Plan rashoda za unos u SAP'!$C$3:$C$501,"=43",'Plan rashoda za unos u SAP'!$M$3:$M$501,"=362")+SUMIFS('ANALITIKA EU PROJEKATA'!$G$3:$G$501,'ANALITIKA EU PROJEKATA'!$A$3:$A$501,"=43",'ANALITIKA EU PROJEKATA'!$P$3:$P$501,"=362")</f>
        <v>0</v>
      </c>
      <c r="J25" s="140">
        <f>SUMIFS('Plan rashoda za unos u SAP'!$I$3:$I$501,'Plan rashoda za unos u SAP'!$C$3:$C$501,"=51",'Plan rashoda za unos u SAP'!$M$3:$M$501,"=362")+SUMIFS('ANALITIKA EU PROJEKATA'!$G$3:$G$501,'ANALITIKA EU PROJEKATA'!$A$3:$A$501,"=51",'ANALITIKA EU PROJEKATA'!$P$3:$P$501,"=362")</f>
        <v>0</v>
      </c>
      <c r="K25" s="140">
        <f>SUMIFS('Plan rashoda za unos u SAP'!$I$3:$I$501,'Plan rashoda za unos u SAP'!$C$3:$C$501,"=52",'Plan rashoda za unos u SAP'!$M$3:$M$501,"=362")+SUMIFS('ANALITIKA EU PROJEKATA'!$G$3:$G$501,'ANALITIKA EU PROJEKATA'!$A$3:$A$501,"=52",'ANALITIKA EU PROJEKATA'!$P$3:$P$501,"=362")</f>
        <v>0</v>
      </c>
      <c r="L25" s="140">
        <f>SUMIFS('Plan rashoda za unos u SAP'!$I$3:$I$501,'Plan rashoda za unos u SAP'!$C$3:$C$501,"=552",'Plan rashoda za unos u SAP'!$M$3:$M$501,"=362")+SUMIFS('ANALITIKA EU PROJEKATA'!$G$3:$G$501,'ANALITIKA EU PROJEKATA'!$A$3:$A$501,"=552",'ANALITIKA EU PROJEKATA'!$P$3:$P$501,"=362")</f>
        <v>0</v>
      </c>
      <c r="M25" s="140">
        <f>SUMIFS('Plan rashoda za unos u SAP'!$I$3:$I$501,'Plan rashoda za unos u SAP'!$C$3:$C$501,"=559",'Plan rashoda za unos u SAP'!$M$3:$M$501,"=362")+SUMIFS('ANALITIKA EU PROJEKATA'!$G$3:$G$501,'ANALITIKA EU PROJEKATA'!$A$3:$A$501,"=559",'ANALITIKA EU PROJEKATA'!$P$3:$P$501,"=362")</f>
        <v>0</v>
      </c>
      <c r="N25" s="140">
        <f>SUMIFS('Plan rashoda za unos u SAP'!$I$3:$I$501,'Plan rashoda za unos u SAP'!$C$3:$C$501,"=561",'Plan rashoda za unos u SAP'!$M$3:$M$501,"=362")+SUMIFS('ANALITIKA EU PROJEKATA'!$G$3:$G$501,'ANALITIKA EU PROJEKATA'!$A$3:$A$501,"=561",'ANALITIKA EU PROJEKATA'!$P$3:$P$501,"=362")</f>
        <v>0</v>
      </c>
      <c r="O25" s="140">
        <f>SUMIFS('Plan rashoda za unos u SAP'!$I$3:$I$501,'Plan rashoda za unos u SAP'!$C$3:$C$501,"=563",'Plan rashoda za unos u SAP'!$M$3:$M$501,"=362")+SUMIFS('ANALITIKA EU PROJEKATA'!$G$3:$G$501,'ANALITIKA EU PROJEKATA'!$A$3:$A$501,"=563",'ANALITIKA EU PROJEKATA'!$P$3:$P$501,"=362")</f>
        <v>0</v>
      </c>
      <c r="P25" s="140">
        <f>SUMIFS('Plan rashoda za unos u SAP'!$I$3:$I$501,'Plan rashoda za unos u SAP'!$C$3:$C$501,"=573",'Plan rashoda za unos u SAP'!$M$3:$M$501,"=362")+SUMIFS('ANALITIKA EU PROJEKATA'!$G$3:$G$501,'ANALITIKA EU PROJEKATA'!$A$3:$A$501,"=573",'ANALITIKA EU PROJEKATA'!$P$3:$P$501,"=362")</f>
        <v>0</v>
      </c>
      <c r="Q25" s="140">
        <f>SUMIFS('Plan rashoda za unos u SAP'!$I$3:$I$501,'Plan rashoda za unos u SAP'!$C$3:$C$501,"=575",'Plan rashoda za unos u SAP'!$M$3:$M$501,"=362")+SUMIFS('ANALITIKA EU PROJEKATA'!$G$3:$G$501,'ANALITIKA EU PROJEKATA'!$A$3:$A$501,"=575",'ANALITIKA EU PROJEKATA'!$P$3:$P$501,"=362")</f>
        <v>0</v>
      </c>
      <c r="R25" s="140">
        <f>SUMIFS('Plan rashoda za unos u SAP'!$I$3:$I$501,'Plan rashoda za unos u SAP'!$C$3:$C$501,"=576",'Plan rashoda za unos u SAP'!$M$3:$M$501,"=362")+SUMIFS('ANALITIKA EU PROJEKATA'!$G$3:$G$501,'ANALITIKA EU PROJEKATA'!$A$3:$A$501,"=576",'ANALITIKA EU PROJEKATA'!$P$3:$P$501,"=362")</f>
        <v>0</v>
      </c>
      <c r="S25" s="140">
        <f>SUMIFS('Plan rashoda za unos u SAP'!$I$3:$I$501,'Plan rashoda za unos u SAP'!$C$3:$C$501,"=61",'Plan rashoda za unos u SAP'!$M$3:$M$501,"=362")+SUMIFS('ANALITIKA EU PROJEKATA'!$G$3:$G$501,'ANALITIKA EU PROJEKATA'!$A$3:$A$501,"=61",'ANALITIKA EU PROJEKATA'!$P$3:$P$501,"=362")</f>
        <v>0</v>
      </c>
      <c r="T25" s="140">
        <f>SUMIFS('Plan rashoda za unos u SAP'!$I$3:$I$501,'Plan rashoda za unos u SAP'!$C$3:$C$501,"=63",'Plan rashoda za unos u SAP'!$M$3:$M$501,"=362")+SUMIFS('ANALITIKA EU PROJEKATA'!$G$3:$G$501,'ANALITIKA EU PROJEKATA'!$A$3:$A$501,"=63",'ANALITIKA EU PROJEKATA'!$P$3:$P$501,"=362")</f>
        <v>0</v>
      </c>
      <c r="U25" s="140">
        <f>SUMIFS('Plan rashoda za unos u SAP'!$I$3:$I$501,'Plan rashoda za unos u SAP'!$C$3:$C$501,"=71",'Plan rashoda za unos u SAP'!$M$3:$M$501,"=362")+SUMIFS('ANALITIKA EU PROJEKATA'!$G$3:$G$501,'ANALITIKA EU PROJEKATA'!$A$3:$A$501,"=71",'ANALITIKA EU PROJEKATA'!$P$3:$P$501,"=362")</f>
        <v>0</v>
      </c>
      <c r="V25" s="140">
        <f>SUMIFS('Plan rashoda za unos u SAP'!$I$3:$I$501,'Plan rashoda za unos u SAP'!$C$3:$C$501,"=81",'Plan rashoda za unos u SAP'!$M$3:$M$501,"=362")+SUMIFS('ANALITIKA EU PROJEKATA'!$G$3:$G$501,'ANALITIKA EU PROJEKATA'!$A$3:$A$501,"=81",'ANALITIKA EU PROJEKATA'!$P$3:$P$501,"=362")</f>
        <v>0</v>
      </c>
      <c r="W25" s="140">
        <f>SUMIFS('Plan rashoda za unos u SAP'!$I$3:$I$501,'Plan rashoda za unos u SAP'!$C$3:$C$501,"=83",'Plan rashoda za unos u SAP'!$M$3:$M$501,"=362")+SUMIFS('ANALITIKA EU PROJEKATA'!$G$3:$G$501,'ANALITIKA EU PROJEKATA'!$A$3:$A$501,"=83",'ANALITIKA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333</v>
      </c>
      <c r="D26" s="14">
        <f t="shared" si="1"/>
        <v>0</v>
      </c>
      <c r="E26" s="140">
        <f>SUMIFS('Plan rashoda za unos u SAP'!$I$3:$I$501,'Plan rashoda za unos u SAP'!$C$3:$C$501,"=11",'Plan rashoda za unos u SAP'!$M$3:$M$501,"=363")+SUMIFS('ANALITIKA EU PROJEKATA'!$G$3:$G$501,'ANALITIKA EU PROJEKATA'!$A$3:$A$501,"=11",'ANALITIKA EU PROJEKATA'!$P$3:$P$501,"=363")</f>
        <v>0</v>
      </c>
      <c r="F26" s="140">
        <f>SUMIFS('Plan rashoda za unos u SAP'!$I$3:$I$501,'Plan rashoda za unos u SAP'!$C$3:$C$501,"=12",'Plan rashoda za unos u SAP'!$M$3:$M$501,"=363")+SUMIFS('ANALITIKA EU PROJEKATA'!$G$3:$G$501,'ANALITIKA EU PROJEKATA'!$A$3:$A$501,"=12",'ANALITIKA EU PROJEKATA'!$P$3:$P$501,"=363")</f>
        <v>0</v>
      </c>
      <c r="G26" s="140">
        <f>SUMIFS('Plan rashoda za unos u SAP'!$I$3:$I$501,'Plan rashoda za unos u SAP'!$C$3:$C$501,"=31",'Plan rashoda za unos u SAP'!$M$3:$M$501,"=363")+SUMIFS('ANALITIKA EU PROJEKATA'!$G$3:$G$501,'ANALITIKA EU PROJEKATA'!$A$3:$A$501,"=31",'ANALITIKA EU PROJEKATA'!$P$3:$P$501,"=363")</f>
        <v>0</v>
      </c>
      <c r="H26" s="140">
        <f>SUMIFS('Plan rashoda za unos u SAP'!$I$3:$I$501,'Plan rashoda za unos u SAP'!$C$3:$C$501,"=41",'Plan rashoda za unos u SAP'!$M$3:$M$501,"=363")+SUMIFS('ANALITIKA EU PROJEKATA'!$G$3:$G$501,'ANALITIKA EU PROJEKATA'!$A$3:$A$501,"=41",'ANALITIKA EU PROJEKATA'!$P$3:$P$501,"=363")</f>
        <v>0</v>
      </c>
      <c r="I26" s="140">
        <f>SUMIFS('Plan rashoda za unos u SAP'!$I$3:$I$501,'Plan rashoda za unos u SAP'!$C$3:$C$501,"=43",'Plan rashoda za unos u SAP'!$M$3:$M$501,"=363")+SUMIFS('ANALITIKA EU PROJEKATA'!$G$3:$G$501,'ANALITIKA EU PROJEKATA'!$A$3:$A$501,"=43",'ANALITIKA EU PROJEKATA'!$P$3:$P$501,"=363")</f>
        <v>0</v>
      </c>
      <c r="J26" s="140">
        <f>SUMIFS('Plan rashoda za unos u SAP'!$I$3:$I$501,'Plan rashoda za unos u SAP'!$C$3:$C$501,"=51",'Plan rashoda za unos u SAP'!$M$3:$M$501,"=363")+SUMIFS('ANALITIKA EU PROJEKATA'!$G$3:$G$501,'ANALITIKA EU PROJEKATA'!$A$3:$A$501,"=51",'ANALITIKA EU PROJEKATA'!$P$3:$P$501,"=363")</f>
        <v>0</v>
      </c>
      <c r="K26" s="140">
        <f>SUMIFS('Plan rashoda za unos u SAP'!$I$3:$I$501,'Plan rashoda za unos u SAP'!$C$3:$C$501,"=52",'Plan rashoda za unos u SAP'!$M$3:$M$501,"=363")+SUMIFS('ANALITIKA EU PROJEKATA'!$G$3:$G$501,'ANALITIKA EU PROJEKATA'!$A$3:$A$501,"=52",'ANALITIKA EU PROJEKATA'!$P$3:$P$501,"=363")</f>
        <v>0</v>
      </c>
      <c r="L26" s="140">
        <f>SUMIFS('Plan rashoda za unos u SAP'!$I$3:$I$501,'Plan rashoda za unos u SAP'!$C$3:$C$501,"=552",'Plan rashoda za unos u SAP'!$M$3:$M$501,"=363")+SUMIFS('ANALITIKA EU PROJEKATA'!$G$3:$G$501,'ANALITIKA EU PROJEKATA'!$A$3:$A$501,"=552",'ANALITIKA EU PROJEKATA'!$P$3:$P$501,"=363")</f>
        <v>0</v>
      </c>
      <c r="M26" s="140">
        <f>SUMIFS('Plan rashoda za unos u SAP'!$I$3:$I$501,'Plan rashoda za unos u SAP'!$C$3:$C$501,"=559",'Plan rashoda za unos u SAP'!$M$3:$M$501,"=363")+SUMIFS('ANALITIKA EU PROJEKATA'!$G$3:$G$501,'ANALITIKA EU PROJEKATA'!$A$3:$A$501,"=559",'ANALITIKA EU PROJEKATA'!$P$3:$P$501,"=363")</f>
        <v>0</v>
      </c>
      <c r="N26" s="140">
        <f>SUMIFS('Plan rashoda za unos u SAP'!$I$3:$I$501,'Plan rashoda za unos u SAP'!$C$3:$C$501,"=561",'Plan rashoda za unos u SAP'!$M$3:$M$501,"=363")+SUMIFS('ANALITIKA EU PROJEKATA'!$G$3:$G$501,'ANALITIKA EU PROJEKATA'!$A$3:$A$501,"=561",'ANALITIKA EU PROJEKATA'!$P$3:$P$501,"=363")</f>
        <v>0</v>
      </c>
      <c r="O26" s="140">
        <f>SUMIFS('Plan rashoda za unos u SAP'!$I$3:$I$501,'Plan rashoda za unos u SAP'!$C$3:$C$501,"=563",'Plan rashoda za unos u SAP'!$M$3:$M$501,"=363")+SUMIFS('ANALITIKA EU PROJEKATA'!$G$3:$G$501,'ANALITIKA EU PROJEKATA'!$A$3:$A$501,"=563",'ANALITIKA EU PROJEKATA'!$P$3:$P$501,"=363")</f>
        <v>0</v>
      </c>
      <c r="P26" s="140">
        <f>SUMIFS('Plan rashoda za unos u SAP'!$I$3:$I$501,'Plan rashoda za unos u SAP'!$C$3:$C$501,"=573",'Plan rashoda za unos u SAP'!$M$3:$M$501,"=363")+SUMIFS('ANALITIKA EU PROJEKATA'!$G$3:$G$501,'ANALITIKA EU PROJEKATA'!$A$3:$A$501,"=573",'ANALITIKA EU PROJEKATA'!$P$3:$P$501,"=363")</f>
        <v>0</v>
      </c>
      <c r="Q26" s="140">
        <f>SUMIFS('Plan rashoda za unos u SAP'!$I$3:$I$501,'Plan rashoda za unos u SAP'!$C$3:$C$501,"=575",'Plan rashoda za unos u SAP'!$M$3:$M$501,"=363")+SUMIFS('ANALITIKA EU PROJEKATA'!$G$3:$G$501,'ANALITIKA EU PROJEKATA'!$A$3:$A$501,"=575",'ANALITIKA EU PROJEKATA'!$P$3:$P$501,"=363")</f>
        <v>0</v>
      </c>
      <c r="R26" s="140">
        <f>SUMIFS('Plan rashoda za unos u SAP'!$I$3:$I$501,'Plan rashoda za unos u SAP'!$C$3:$C$501,"=576",'Plan rashoda za unos u SAP'!$M$3:$M$501,"=363")+SUMIFS('ANALITIKA EU PROJEKATA'!$G$3:$G$501,'ANALITIKA EU PROJEKATA'!$A$3:$A$501,"=576",'ANALITIKA EU PROJEKATA'!$P$3:$P$501,"=363")</f>
        <v>0</v>
      </c>
      <c r="S26" s="140">
        <f>SUMIFS('Plan rashoda za unos u SAP'!$I$3:$I$501,'Plan rashoda za unos u SAP'!$C$3:$C$501,"=61",'Plan rashoda za unos u SAP'!$M$3:$M$501,"=363")+SUMIFS('ANALITIKA EU PROJEKATA'!$G$3:$G$501,'ANALITIKA EU PROJEKATA'!$A$3:$A$501,"=61",'ANALITIKA EU PROJEKATA'!$P$3:$P$501,"=363")</f>
        <v>0</v>
      </c>
      <c r="T26" s="140">
        <f>SUMIFS('Plan rashoda za unos u SAP'!$I$3:$I$501,'Plan rashoda za unos u SAP'!$C$3:$C$501,"=63",'Plan rashoda za unos u SAP'!$M$3:$M$501,"=363")+SUMIFS('ANALITIKA EU PROJEKATA'!$G$3:$G$501,'ANALITIKA EU PROJEKATA'!$A$3:$A$501,"=63",'ANALITIKA EU PROJEKATA'!$P$3:$P$501,"=363")</f>
        <v>0</v>
      </c>
      <c r="U26" s="140">
        <f>SUMIFS('Plan rashoda za unos u SAP'!$I$3:$I$501,'Plan rashoda za unos u SAP'!$C$3:$C$501,"=71",'Plan rashoda za unos u SAP'!$M$3:$M$501,"=363")+SUMIFS('ANALITIKA EU PROJEKATA'!$G$3:$G$501,'ANALITIKA EU PROJEKATA'!$A$3:$A$501,"=71",'ANALITIKA EU PROJEKATA'!$P$3:$P$501,"=363")</f>
        <v>0</v>
      </c>
      <c r="V26" s="140">
        <f>SUMIFS('Plan rashoda za unos u SAP'!$I$3:$I$501,'Plan rashoda za unos u SAP'!$C$3:$C$501,"=81",'Plan rashoda za unos u SAP'!$M$3:$M$501,"=363")+SUMIFS('ANALITIKA EU PROJEKATA'!$G$3:$G$501,'ANALITIKA EU PROJEKATA'!$A$3:$A$501,"=81",'ANALITIKA EU PROJEKATA'!$P$3:$P$501,"=363")</f>
        <v>0</v>
      </c>
      <c r="W26" s="140">
        <f>SUMIFS('Plan rashoda za unos u SAP'!$I$3:$I$501,'Plan rashoda za unos u SAP'!$C$3:$C$501,"=83",'Plan rashoda za unos u SAP'!$M$3:$M$501,"=363")+SUMIFS('ANALITIKA EU PROJEKATA'!$G$3:$G$501,'ANALITIKA EU PROJEKATA'!$A$3:$A$501,"=83",'ANALITIKA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334</v>
      </c>
      <c r="D27" s="14">
        <f t="shared" si="1"/>
        <v>0</v>
      </c>
      <c r="E27" s="140">
        <f>SUMIFS('Plan rashoda za unos u SAP'!$I$3:$I$501,'Plan rashoda za unos u SAP'!$C$3:$C$501,"=11",'Plan rashoda za unos u SAP'!$M$3:$M$501,"=366")+SUMIFS('ANALITIKA EU PROJEKATA'!$G$3:$G$501,'ANALITIKA EU PROJEKATA'!$A$3:$A$501,"=11",'ANALITIKA EU PROJEKATA'!$P$3:$P$501,"=366")</f>
        <v>0</v>
      </c>
      <c r="F27" s="140">
        <f>SUMIFS('Plan rashoda za unos u SAP'!$I$3:$I$501,'Plan rashoda za unos u SAP'!$C$3:$C$501,"=12",'Plan rashoda za unos u SAP'!$M$3:$M$501,"=366")+SUMIFS('ANALITIKA EU PROJEKATA'!$G$3:$G$501,'ANALITIKA EU PROJEKATA'!$A$3:$A$501,"=12",'ANALITIKA EU PROJEKATA'!$P$3:$P$501,"=366")</f>
        <v>0</v>
      </c>
      <c r="G27" s="140">
        <f>SUMIFS('Plan rashoda za unos u SAP'!$I$3:$I$501,'Plan rashoda za unos u SAP'!$C$3:$C$501,"=31",'Plan rashoda za unos u SAP'!$M$3:$M$501,"=366")+SUMIFS('ANALITIKA EU PROJEKATA'!$G$3:$G$501,'ANALITIKA EU PROJEKATA'!$A$3:$A$501,"=31",'ANALITIKA EU PROJEKATA'!$P$3:$P$501,"=366")</f>
        <v>0</v>
      </c>
      <c r="H27" s="140">
        <f>SUMIFS('Plan rashoda za unos u SAP'!$I$3:$I$501,'Plan rashoda za unos u SAP'!$C$3:$C$501,"=41",'Plan rashoda za unos u SAP'!$M$3:$M$501,"=366")+SUMIFS('ANALITIKA EU PROJEKATA'!$G$3:$G$501,'ANALITIKA EU PROJEKATA'!$A$3:$A$501,"=41",'ANALITIKA EU PROJEKATA'!$P$3:$P$501,"=366")</f>
        <v>0</v>
      </c>
      <c r="I27" s="140">
        <f>SUMIFS('Plan rashoda za unos u SAP'!$I$3:$I$501,'Plan rashoda za unos u SAP'!$C$3:$C$501,"=43",'Plan rashoda za unos u SAP'!$M$3:$M$501,"=366")+SUMIFS('ANALITIKA EU PROJEKATA'!$G$3:$G$501,'ANALITIKA EU PROJEKATA'!$A$3:$A$501,"=43",'ANALITIKA EU PROJEKATA'!$P$3:$P$501,"=366")</f>
        <v>0</v>
      </c>
      <c r="J27" s="140">
        <f>SUMIFS('Plan rashoda za unos u SAP'!$I$3:$I$501,'Plan rashoda za unos u SAP'!$C$3:$C$501,"=51",'Plan rashoda za unos u SAP'!$M$3:$M$501,"=366")+SUMIFS('ANALITIKA EU PROJEKATA'!$G$3:$G$501,'ANALITIKA EU PROJEKATA'!$A$3:$A$501,"=51",'ANALITIKA EU PROJEKATA'!$P$3:$P$501,"=366")</f>
        <v>0</v>
      </c>
      <c r="K27" s="140">
        <f>SUMIFS('Plan rashoda za unos u SAP'!$I$3:$I$501,'Plan rashoda za unos u SAP'!$C$3:$C$501,"=52",'Plan rashoda za unos u SAP'!$M$3:$M$501,"=366")+SUMIFS('ANALITIKA EU PROJEKATA'!$G$3:$G$501,'ANALITIKA EU PROJEKATA'!$A$3:$A$501,"=52",'ANALITIKA EU PROJEKATA'!$P$3:$P$501,"=366")</f>
        <v>0</v>
      </c>
      <c r="L27" s="140">
        <f>SUMIFS('Plan rashoda za unos u SAP'!$I$3:$I$501,'Plan rashoda za unos u SAP'!$C$3:$C$501,"=552",'Plan rashoda za unos u SAP'!$M$3:$M$501,"=366")+SUMIFS('ANALITIKA EU PROJEKATA'!$G$3:$G$501,'ANALITIKA EU PROJEKATA'!$A$3:$A$501,"=552",'ANALITIKA EU PROJEKATA'!$P$3:$P$501,"=366")</f>
        <v>0</v>
      </c>
      <c r="M27" s="140">
        <f>SUMIFS('Plan rashoda za unos u SAP'!$I$3:$I$501,'Plan rashoda za unos u SAP'!$C$3:$C$501,"=559",'Plan rashoda za unos u SAP'!$M$3:$M$501,"=366")+SUMIFS('ANALITIKA EU PROJEKATA'!$G$3:$G$501,'ANALITIKA EU PROJEKATA'!$A$3:$A$501,"=559",'ANALITIKA EU PROJEKATA'!$P$3:$P$501,"=366")</f>
        <v>0</v>
      </c>
      <c r="N27" s="140">
        <f>SUMIFS('Plan rashoda za unos u SAP'!$I$3:$I$501,'Plan rashoda za unos u SAP'!$C$3:$C$501,"=561",'Plan rashoda za unos u SAP'!$M$3:$M$501,"=366")+SUMIFS('ANALITIKA EU PROJEKATA'!$G$3:$G$501,'ANALITIKA EU PROJEKATA'!$A$3:$A$501,"=561",'ANALITIKA EU PROJEKATA'!$P$3:$P$501,"=366")</f>
        <v>0</v>
      </c>
      <c r="O27" s="140">
        <f>SUMIFS('Plan rashoda za unos u SAP'!$I$3:$I$501,'Plan rashoda za unos u SAP'!$C$3:$C$501,"=563",'Plan rashoda za unos u SAP'!$M$3:$M$501,"=366")+SUMIFS('ANALITIKA EU PROJEKATA'!$G$3:$G$501,'ANALITIKA EU PROJEKATA'!$A$3:$A$501,"=563",'ANALITIKA EU PROJEKATA'!$P$3:$P$501,"=366")</f>
        <v>0</v>
      </c>
      <c r="P27" s="140">
        <f>SUMIFS('Plan rashoda za unos u SAP'!$I$3:$I$501,'Plan rashoda za unos u SAP'!$C$3:$C$501,"=573",'Plan rashoda za unos u SAP'!$M$3:$M$501,"=366")+SUMIFS('ANALITIKA EU PROJEKATA'!$G$3:$G$501,'ANALITIKA EU PROJEKATA'!$A$3:$A$501,"=573",'ANALITIKA EU PROJEKATA'!$P$3:$P$501,"=366")</f>
        <v>0</v>
      </c>
      <c r="Q27" s="140">
        <f>SUMIFS('Plan rashoda za unos u SAP'!$I$3:$I$501,'Plan rashoda za unos u SAP'!$C$3:$C$501,"=575",'Plan rashoda za unos u SAP'!$M$3:$M$501,"=366")+SUMIFS('ANALITIKA EU PROJEKATA'!$G$3:$G$501,'ANALITIKA EU PROJEKATA'!$A$3:$A$501,"=575",'ANALITIKA EU PROJEKATA'!$P$3:$P$501,"=366")</f>
        <v>0</v>
      </c>
      <c r="R27" s="140">
        <f>SUMIFS('Plan rashoda za unos u SAP'!$I$3:$I$501,'Plan rashoda za unos u SAP'!$C$3:$C$501,"=576",'Plan rashoda za unos u SAP'!$M$3:$M$501,"=366")+SUMIFS('ANALITIKA EU PROJEKATA'!$G$3:$G$501,'ANALITIKA EU PROJEKATA'!$A$3:$A$501,"=576",'ANALITIKA EU PROJEKATA'!$P$3:$P$501,"=366")</f>
        <v>0</v>
      </c>
      <c r="S27" s="140">
        <f>SUMIFS('Plan rashoda za unos u SAP'!$I$3:$I$501,'Plan rashoda za unos u SAP'!$C$3:$C$501,"=61",'Plan rashoda za unos u SAP'!$M$3:$M$501,"=366")+SUMIFS('ANALITIKA EU PROJEKATA'!$G$3:$G$501,'ANALITIKA EU PROJEKATA'!$A$3:$A$501,"=61",'ANALITIKA EU PROJEKATA'!$P$3:$P$501,"=366")</f>
        <v>0</v>
      </c>
      <c r="T27" s="140">
        <f>SUMIFS('Plan rashoda za unos u SAP'!$I$3:$I$501,'Plan rashoda za unos u SAP'!$C$3:$C$501,"=63",'Plan rashoda za unos u SAP'!$M$3:$M$501,"=366")+SUMIFS('ANALITIKA EU PROJEKATA'!$G$3:$G$501,'ANALITIKA EU PROJEKATA'!$A$3:$A$501,"=63",'ANALITIKA EU PROJEKATA'!$P$3:$P$501,"=366")</f>
        <v>0</v>
      </c>
      <c r="U27" s="140">
        <f>SUMIFS('Plan rashoda za unos u SAP'!$I$3:$I$501,'Plan rashoda za unos u SAP'!$C$3:$C$501,"=71",'Plan rashoda za unos u SAP'!$M$3:$M$501,"=366")+SUMIFS('ANALITIKA EU PROJEKATA'!$G$3:$G$501,'ANALITIKA EU PROJEKATA'!$A$3:$A$501,"=71",'ANALITIKA EU PROJEKATA'!$P$3:$P$501,"=366")</f>
        <v>0</v>
      </c>
      <c r="V27" s="140">
        <f>SUMIFS('Plan rashoda za unos u SAP'!$I$3:$I$501,'Plan rashoda za unos u SAP'!$C$3:$C$501,"=81",'Plan rashoda za unos u SAP'!$M$3:$M$501,"=366")+SUMIFS('ANALITIKA EU PROJEKATA'!$G$3:$G$501,'ANALITIKA EU PROJEKATA'!$A$3:$A$501,"=81",'ANALITIKA EU PROJEKATA'!$P$3:$P$501,"=366")</f>
        <v>0</v>
      </c>
      <c r="W27" s="140">
        <f>SUMIFS('Plan rashoda za unos u SAP'!$I$3:$I$501,'Plan rashoda za unos u SAP'!$C$3:$C$501,"=83",'Plan rashoda za unos u SAP'!$M$3:$M$501,"=366")+SUMIFS('ANALITIKA EU PROJEKATA'!$G$3:$G$501,'ANALITIKA EU PROJEKATA'!$A$3:$A$501,"=83",'ANALITIKA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288</v>
      </c>
      <c r="D28" s="14">
        <f t="shared" si="1"/>
        <v>0</v>
      </c>
      <c r="E28" s="140">
        <f>SUMIFS('Plan rashoda za unos u SAP'!$I$3:$I$501,'Plan rashoda za unos u SAP'!$C$3:$C$501,"=11",'Plan rashoda za unos u SAP'!$M$3:$M$501,"=368")+SUMIFS('ANALITIKA EU PROJEKATA'!$G$3:$G$501,'ANALITIKA EU PROJEKATA'!$A$3:$A$501,"=11",'ANALITIKA EU PROJEKATA'!$P$3:$P$501,"=368")</f>
        <v>0</v>
      </c>
      <c r="F28" s="140">
        <f>SUMIFS('Plan rashoda za unos u SAP'!$I$3:$I$501,'Plan rashoda za unos u SAP'!$C$3:$C$501,"=12",'Plan rashoda za unos u SAP'!$M$3:$M$501,"=368")+SUMIFS('ANALITIKA EU PROJEKATA'!$G$3:$G$501,'ANALITIKA EU PROJEKATA'!$A$3:$A$501,"=12",'ANALITIKA EU PROJEKATA'!$P$3:$P$501,"=368")</f>
        <v>0</v>
      </c>
      <c r="G28" s="140">
        <f>SUMIFS('Plan rashoda za unos u SAP'!$I$3:$I$501,'Plan rashoda za unos u SAP'!$C$3:$C$501,"=31",'Plan rashoda za unos u SAP'!$M$3:$M$501,"=368")+SUMIFS('ANALITIKA EU PROJEKATA'!$G$3:$G$501,'ANALITIKA EU PROJEKATA'!$A$3:$A$501,"=31",'ANALITIKA EU PROJEKATA'!$P$3:$P$501,"=368")</f>
        <v>0</v>
      </c>
      <c r="H28" s="140">
        <f>SUMIFS('Plan rashoda za unos u SAP'!$I$3:$I$501,'Plan rashoda za unos u SAP'!$C$3:$C$501,"=41",'Plan rashoda za unos u SAP'!$M$3:$M$501,"=368")+SUMIFS('ANALITIKA EU PROJEKATA'!$G$3:$G$501,'ANALITIKA EU PROJEKATA'!$A$3:$A$501,"=41",'ANALITIKA EU PROJEKATA'!$P$3:$P$501,"=368")</f>
        <v>0</v>
      </c>
      <c r="I28" s="140">
        <f>SUMIFS('Plan rashoda za unos u SAP'!$I$3:$I$501,'Plan rashoda za unos u SAP'!$C$3:$C$501,"=43",'Plan rashoda za unos u SAP'!$M$3:$M$501,"=368")+SUMIFS('ANALITIKA EU PROJEKATA'!$G$3:$G$501,'ANALITIKA EU PROJEKATA'!$A$3:$A$501,"=43",'ANALITIKA EU PROJEKATA'!$P$3:$P$501,"=368")</f>
        <v>0</v>
      </c>
      <c r="J28" s="140">
        <f>SUMIFS('Plan rashoda za unos u SAP'!$I$3:$I$501,'Plan rashoda za unos u SAP'!$C$3:$C$501,"=51",'Plan rashoda za unos u SAP'!$M$3:$M$501,"=368")+SUMIFS('ANALITIKA EU PROJEKATA'!$G$3:$G$501,'ANALITIKA EU PROJEKATA'!$A$3:$A$501,"=51",'ANALITIKA EU PROJEKATA'!$P$3:$P$501,"=368")</f>
        <v>0</v>
      </c>
      <c r="K28" s="140">
        <f>SUMIFS('Plan rashoda za unos u SAP'!$I$3:$I$501,'Plan rashoda za unos u SAP'!$C$3:$C$501,"=52",'Plan rashoda za unos u SAP'!$M$3:$M$501,"=368")+SUMIFS('ANALITIKA EU PROJEKATA'!$G$3:$G$501,'ANALITIKA EU PROJEKATA'!$A$3:$A$501,"=52",'ANALITIKA EU PROJEKATA'!$P$3:$P$501,"=368")</f>
        <v>0</v>
      </c>
      <c r="L28" s="140">
        <f>SUMIFS('Plan rashoda za unos u SAP'!$I$3:$I$501,'Plan rashoda za unos u SAP'!$C$3:$C$501,"=552",'Plan rashoda za unos u SAP'!$M$3:$M$501,"=368")+SUMIFS('ANALITIKA EU PROJEKATA'!$G$3:$G$501,'ANALITIKA EU PROJEKATA'!$A$3:$A$501,"=552",'ANALITIKA EU PROJEKATA'!$P$3:$P$501,"=368")</f>
        <v>0</v>
      </c>
      <c r="M28" s="140">
        <f>SUMIFS('Plan rashoda za unos u SAP'!$I$3:$I$501,'Plan rashoda za unos u SAP'!$C$3:$C$501,"=559",'Plan rashoda za unos u SAP'!$M$3:$M$501,"=368")+SUMIFS('ANALITIKA EU PROJEKATA'!$G$3:$G$501,'ANALITIKA EU PROJEKATA'!$A$3:$A$501,"=559",'ANALITIKA EU PROJEKATA'!$P$3:$P$501,"=368")</f>
        <v>0</v>
      </c>
      <c r="N28" s="140">
        <f>SUMIFS('Plan rashoda za unos u SAP'!$I$3:$I$501,'Plan rashoda za unos u SAP'!$C$3:$C$501,"=561",'Plan rashoda za unos u SAP'!$M$3:$M$501,"=368")+SUMIFS('ANALITIKA EU PROJEKATA'!$G$3:$G$501,'ANALITIKA EU PROJEKATA'!$A$3:$A$501,"=561",'ANALITIKA EU PROJEKATA'!$P$3:$P$501,"=368")</f>
        <v>0</v>
      </c>
      <c r="O28" s="140">
        <f>SUMIFS('Plan rashoda za unos u SAP'!$I$3:$I$501,'Plan rashoda za unos u SAP'!$C$3:$C$501,"=563",'Plan rashoda za unos u SAP'!$M$3:$M$501,"=368")+SUMIFS('ANALITIKA EU PROJEKATA'!$G$3:$G$501,'ANALITIKA EU PROJEKATA'!$A$3:$A$501,"=563",'ANALITIKA EU PROJEKATA'!$P$3:$P$501,"=368")</f>
        <v>0</v>
      </c>
      <c r="P28" s="140">
        <f>SUMIFS('Plan rashoda za unos u SAP'!$I$3:$I$501,'Plan rashoda za unos u SAP'!$C$3:$C$501,"=573",'Plan rashoda za unos u SAP'!$M$3:$M$501,"=368")+SUMIFS('ANALITIKA EU PROJEKATA'!$G$3:$G$501,'ANALITIKA EU PROJEKATA'!$A$3:$A$501,"=573",'ANALITIKA EU PROJEKATA'!$P$3:$P$501,"=368")</f>
        <v>0</v>
      </c>
      <c r="Q28" s="140">
        <f>SUMIFS('Plan rashoda za unos u SAP'!$I$3:$I$501,'Plan rashoda za unos u SAP'!$C$3:$C$501,"=575",'Plan rashoda za unos u SAP'!$M$3:$M$501,"=368")+SUMIFS('ANALITIKA EU PROJEKATA'!$G$3:$G$501,'ANALITIKA EU PROJEKATA'!$A$3:$A$501,"=575",'ANALITIKA EU PROJEKATA'!$P$3:$P$501,"=368")</f>
        <v>0</v>
      </c>
      <c r="R28" s="140">
        <f>SUMIFS('Plan rashoda za unos u SAP'!$I$3:$I$501,'Plan rashoda za unos u SAP'!$C$3:$C$501,"=576",'Plan rashoda za unos u SAP'!$M$3:$M$501,"=368")+SUMIFS('ANALITIKA EU PROJEKATA'!$G$3:$G$501,'ANALITIKA EU PROJEKATA'!$A$3:$A$501,"=576",'ANALITIKA EU PROJEKATA'!$P$3:$P$501,"=368")</f>
        <v>0</v>
      </c>
      <c r="S28" s="140">
        <f>SUMIFS('Plan rashoda za unos u SAP'!$I$3:$I$501,'Plan rashoda za unos u SAP'!$C$3:$C$501,"=61",'Plan rashoda za unos u SAP'!$M$3:$M$501,"=368")+SUMIFS('ANALITIKA EU PROJEKATA'!$G$3:$G$501,'ANALITIKA EU PROJEKATA'!$A$3:$A$501,"=61",'ANALITIKA EU PROJEKATA'!$P$3:$P$501,"=368")</f>
        <v>0</v>
      </c>
      <c r="T28" s="140">
        <f>SUMIFS('Plan rashoda za unos u SAP'!$I$3:$I$501,'Plan rashoda za unos u SAP'!$C$3:$C$501,"=63",'Plan rashoda za unos u SAP'!$M$3:$M$501,"=368")+SUMIFS('ANALITIKA EU PROJEKATA'!$G$3:$G$501,'ANALITIKA EU PROJEKATA'!$A$3:$A$501,"=63",'ANALITIKA EU PROJEKATA'!$P$3:$P$501,"=368")</f>
        <v>0</v>
      </c>
      <c r="U28" s="140">
        <f>SUMIFS('Plan rashoda za unos u SAP'!$I$3:$I$501,'Plan rashoda za unos u SAP'!$C$3:$C$501,"=71",'Plan rashoda za unos u SAP'!$M$3:$M$501,"=368")+SUMIFS('ANALITIKA EU PROJEKATA'!$G$3:$G$501,'ANALITIKA EU PROJEKATA'!$A$3:$A$501,"=71",'ANALITIKA EU PROJEKATA'!$P$3:$P$501,"=368")</f>
        <v>0</v>
      </c>
      <c r="V28" s="140">
        <f>SUMIFS('Plan rashoda za unos u SAP'!$I$3:$I$501,'Plan rashoda za unos u SAP'!$C$3:$C$501,"=81",'Plan rashoda za unos u SAP'!$M$3:$M$501,"=368")+SUMIFS('ANALITIKA EU PROJEKATA'!$G$3:$G$501,'ANALITIKA EU PROJEKATA'!$A$3:$A$501,"=81",'ANALITIKA EU PROJEKATA'!$P$3:$P$501,"=368")</f>
        <v>0</v>
      </c>
      <c r="W28" s="140">
        <f>SUMIFS('Plan rashoda za unos u SAP'!$I$3:$I$501,'Plan rashoda za unos u SAP'!$C$3:$C$501,"=83",'Plan rashoda za unos u SAP'!$M$3:$M$501,"=368")+SUMIFS('ANALITIKA EU PROJEKATA'!$G$3:$G$501,'ANALITIKA EU PROJEKATA'!$A$3:$A$501,"=83",'ANALITIKA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1"/>
        <v>0</v>
      </c>
      <c r="E29" s="140">
        <f>SUMIFS('Plan rashoda za unos u SAP'!$I$3:$I$501,'Plan rashoda za unos u SAP'!$C$3:$C$501,"=11",'Plan rashoda za unos u SAP'!$M$3:$M$501,"=369")+SUMIFS('ANALITIKA EU PROJEKATA'!$G$3:$G$501,'ANALITIKA EU PROJEKATA'!$A$3:$A$501,"=11",'ANALITIKA EU PROJEKATA'!$P$3:$P$501,"=369")</f>
        <v>0</v>
      </c>
      <c r="F29" s="140">
        <f>SUMIFS('Plan rashoda za unos u SAP'!$I$3:$I$501,'Plan rashoda za unos u SAP'!$C$3:$C$501,"=12",'Plan rashoda za unos u SAP'!$M$3:$M$501,"=369")+SUMIFS('ANALITIKA EU PROJEKATA'!$G$3:$G$501,'ANALITIKA EU PROJEKATA'!$A$3:$A$501,"=12",'ANALITIKA EU PROJEKATA'!$P$3:$P$501,"=369")</f>
        <v>0</v>
      </c>
      <c r="G29" s="140">
        <f>SUMIFS('Plan rashoda za unos u SAP'!$I$3:$I$501,'Plan rashoda za unos u SAP'!$C$3:$C$501,"=31",'Plan rashoda za unos u SAP'!$M$3:$M$501,"=369")+SUMIFS('ANALITIKA EU PROJEKATA'!$G$3:$G$501,'ANALITIKA EU PROJEKATA'!$A$3:$A$501,"=31",'ANALITIKA EU PROJEKATA'!$P$3:$P$501,"=369")</f>
        <v>0</v>
      </c>
      <c r="H29" s="140">
        <f>SUMIFS('Plan rashoda za unos u SAP'!$I$3:$I$501,'Plan rashoda za unos u SAP'!$C$3:$C$501,"=41",'Plan rashoda za unos u SAP'!$M$3:$M$501,"=369")+SUMIFS('ANALITIKA EU PROJEKATA'!$G$3:$G$501,'ANALITIKA EU PROJEKATA'!$A$3:$A$501,"=41",'ANALITIKA EU PROJEKATA'!$P$3:$P$501,"=369")</f>
        <v>0</v>
      </c>
      <c r="I29" s="140">
        <f>SUMIFS('Plan rashoda za unos u SAP'!$I$3:$I$501,'Plan rashoda za unos u SAP'!$C$3:$C$501,"=43",'Plan rashoda za unos u SAP'!$M$3:$M$501,"=369")+SUMIFS('ANALITIKA EU PROJEKATA'!$G$3:$G$501,'ANALITIKA EU PROJEKATA'!$A$3:$A$501,"=43",'ANALITIKA EU PROJEKATA'!$P$3:$P$501,"=369")</f>
        <v>0</v>
      </c>
      <c r="J29" s="140">
        <f>SUMIFS('Plan rashoda za unos u SAP'!$I$3:$I$501,'Plan rashoda za unos u SAP'!$C$3:$C$501,"=51",'Plan rashoda za unos u SAP'!$M$3:$M$501,"=369")+SUMIFS('ANALITIKA EU PROJEKATA'!$G$3:$G$501,'ANALITIKA EU PROJEKATA'!$A$3:$A$501,"=51",'ANALITIKA EU PROJEKATA'!$P$3:$P$501,"=369")</f>
        <v>0</v>
      </c>
      <c r="K29" s="140">
        <f>SUMIFS('Plan rashoda za unos u SAP'!$I$3:$I$501,'Plan rashoda za unos u SAP'!$C$3:$C$501,"=52",'Plan rashoda za unos u SAP'!$M$3:$M$501,"=369")+SUMIFS('ANALITIKA EU PROJEKATA'!$G$3:$G$501,'ANALITIKA EU PROJEKATA'!$A$3:$A$501,"=52",'ANALITIKA EU PROJEKATA'!$P$3:$P$501,"=369")</f>
        <v>0</v>
      </c>
      <c r="L29" s="140">
        <f>SUMIFS('Plan rashoda za unos u SAP'!$I$3:$I$501,'Plan rashoda za unos u SAP'!$C$3:$C$501,"=552",'Plan rashoda za unos u SAP'!$M$3:$M$501,"=369")+SUMIFS('ANALITIKA EU PROJEKATA'!$G$3:$G$501,'ANALITIKA EU PROJEKATA'!$A$3:$A$501,"=552",'ANALITIKA EU PROJEKATA'!$P$3:$P$501,"=369")</f>
        <v>0</v>
      </c>
      <c r="M29" s="140">
        <f>SUMIFS('Plan rashoda za unos u SAP'!$I$3:$I$501,'Plan rashoda za unos u SAP'!$C$3:$C$501,"=559",'Plan rashoda za unos u SAP'!$M$3:$M$501,"=369")+SUMIFS('ANALITIKA EU PROJEKATA'!$G$3:$G$501,'ANALITIKA EU PROJEKATA'!$A$3:$A$501,"=559",'ANALITIKA EU PROJEKATA'!$P$3:$P$501,"=369")</f>
        <v>0</v>
      </c>
      <c r="N29" s="140">
        <f>SUMIFS('Plan rashoda za unos u SAP'!$I$3:$I$501,'Plan rashoda za unos u SAP'!$C$3:$C$501,"=561",'Plan rashoda za unos u SAP'!$M$3:$M$501,"=369")+SUMIFS('ANALITIKA EU PROJEKATA'!$G$3:$G$501,'ANALITIKA EU PROJEKATA'!$A$3:$A$501,"=561",'ANALITIKA EU PROJEKATA'!$P$3:$P$501,"=369")</f>
        <v>0</v>
      </c>
      <c r="O29" s="140">
        <f>SUMIFS('Plan rashoda za unos u SAP'!$I$3:$I$501,'Plan rashoda za unos u SAP'!$C$3:$C$501,"=563",'Plan rashoda za unos u SAP'!$M$3:$M$501,"=369")+SUMIFS('ANALITIKA EU PROJEKATA'!$G$3:$G$501,'ANALITIKA EU PROJEKATA'!$A$3:$A$501,"=563",'ANALITIKA EU PROJEKATA'!$P$3:$P$501,"=369")</f>
        <v>0</v>
      </c>
      <c r="P29" s="140">
        <f>SUMIFS('Plan rashoda za unos u SAP'!$I$3:$I$501,'Plan rashoda za unos u SAP'!$C$3:$C$501,"=573",'Plan rashoda za unos u SAP'!$M$3:$M$501,"=369")+SUMIFS('ANALITIKA EU PROJEKATA'!$G$3:$G$501,'ANALITIKA EU PROJEKATA'!$A$3:$A$501,"=573",'ANALITIKA EU PROJEKATA'!$P$3:$P$501,"=369")</f>
        <v>0</v>
      </c>
      <c r="Q29" s="140">
        <f>SUMIFS('Plan rashoda za unos u SAP'!$I$3:$I$501,'Plan rashoda za unos u SAP'!$C$3:$C$501,"=575",'Plan rashoda za unos u SAP'!$M$3:$M$501,"=369")+SUMIFS('ANALITIKA EU PROJEKATA'!$G$3:$G$501,'ANALITIKA EU PROJEKATA'!$A$3:$A$501,"=575",'ANALITIKA EU PROJEKATA'!$P$3:$P$501,"=369")</f>
        <v>0</v>
      </c>
      <c r="R29" s="140">
        <f>SUMIFS('Plan rashoda za unos u SAP'!$I$3:$I$501,'Plan rashoda za unos u SAP'!$C$3:$C$501,"=576",'Plan rashoda za unos u SAP'!$M$3:$M$501,"=369")+SUMIFS('ANALITIKA EU PROJEKATA'!$G$3:$G$501,'ANALITIKA EU PROJEKATA'!$A$3:$A$501,"=576",'ANALITIKA EU PROJEKATA'!$P$3:$P$501,"=369")</f>
        <v>0</v>
      </c>
      <c r="S29" s="140">
        <f>SUMIFS('Plan rashoda za unos u SAP'!$I$3:$I$501,'Plan rashoda za unos u SAP'!$C$3:$C$501,"=61",'Plan rashoda za unos u SAP'!$M$3:$M$501,"=369")+SUMIFS('ANALITIKA EU PROJEKATA'!$G$3:$G$501,'ANALITIKA EU PROJEKATA'!$A$3:$A$501,"=61",'ANALITIKA EU PROJEKATA'!$P$3:$P$501,"=369")</f>
        <v>0</v>
      </c>
      <c r="T29" s="140">
        <f>SUMIFS('Plan rashoda za unos u SAP'!$I$3:$I$501,'Plan rashoda za unos u SAP'!$C$3:$C$501,"=63",'Plan rashoda za unos u SAP'!$M$3:$M$501,"=369")+SUMIFS('ANALITIKA EU PROJEKATA'!$G$3:$G$501,'ANALITIKA EU PROJEKATA'!$A$3:$A$501,"=63",'ANALITIKA EU PROJEKATA'!$P$3:$P$501,"=369")</f>
        <v>0</v>
      </c>
      <c r="U29" s="140">
        <f>SUMIFS('Plan rashoda za unos u SAP'!$I$3:$I$501,'Plan rashoda za unos u SAP'!$C$3:$C$501,"=71",'Plan rashoda za unos u SAP'!$M$3:$M$501,"=369")+SUMIFS('ANALITIKA EU PROJEKATA'!$G$3:$G$501,'ANALITIKA EU PROJEKATA'!$A$3:$A$501,"=71",'ANALITIKA EU PROJEKATA'!$P$3:$P$501,"=369")</f>
        <v>0</v>
      </c>
      <c r="V29" s="140">
        <f>SUMIFS('Plan rashoda za unos u SAP'!$I$3:$I$501,'Plan rashoda za unos u SAP'!$C$3:$C$501,"=81",'Plan rashoda za unos u SAP'!$M$3:$M$501,"=369")+SUMIFS('ANALITIKA EU PROJEKATA'!$G$3:$G$501,'ANALITIKA EU PROJEKATA'!$A$3:$A$501,"=81",'ANALITIKA EU PROJEKATA'!$P$3:$P$501,"=369")</f>
        <v>0</v>
      </c>
      <c r="W29" s="140">
        <f>SUMIFS('Plan rashoda za unos u SAP'!$I$3:$I$501,'Plan rashoda za unos u SAP'!$C$3:$C$501,"=83",'Plan rashoda za unos u SAP'!$M$3:$M$501,"=369")+SUMIFS('ANALITIKA EU PROJEKATA'!$G$3:$G$501,'ANALITIKA EU PROJEKATA'!$A$3:$A$501,"=83",'ANALITIKA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335</v>
      </c>
      <c r="D30" s="4">
        <f t="shared" si="1"/>
        <v>130000</v>
      </c>
      <c r="E30" s="4">
        <f t="shared" ref="E30:W30" si="8">SUM(E31:E32)</f>
        <v>0</v>
      </c>
      <c r="F30" s="4">
        <f t="shared" si="8"/>
        <v>0</v>
      </c>
      <c r="G30" s="4">
        <f t="shared" si="8"/>
        <v>130000</v>
      </c>
      <c r="H30" s="4">
        <f>SUM(H31:H32)</f>
        <v>0</v>
      </c>
      <c r="I30" s="4">
        <f t="shared" si="8"/>
        <v>0</v>
      </c>
      <c r="J30" s="4">
        <f t="shared" si="8"/>
        <v>0</v>
      </c>
      <c r="K30" s="4">
        <f t="shared" si="8"/>
        <v>0</v>
      </c>
      <c r="L30" s="4">
        <f>SUM(L31:L32)</f>
        <v>0</v>
      </c>
      <c r="M30" s="4">
        <f t="shared" si="8"/>
        <v>0</v>
      </c>
      <c r="N30" s="4">
        <f t="shared" si="8"/>
        <v>0</v>
      </c>
      <c r="O30" s="4">
        <f t="shared" si="8"/>
        <v>0</v>
      </c>
      <c r="P30" s="4">
        <f>SUM(P31:P32)</f>
        <v>0</v>
      </c>
      <c r="Q30" s="4">
        <f>SUM(Q31:Q32)</f>
        <v>0</v>
      </c>
      <c r="R30" s="4">
        <f>SUM(R31:R32)</f>
        <v>0</v>
      </c>
      <c r="S30" s="4">
        <f t="shared" si="8"/>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336</v>
      </c>
      <c r="D31" s="14">
        <f t="shared" si="1"/>
        <v>0</v>
      </c>
      <c r="E31" s="140">
        <f>SUMIFS('Plan rashoda za unos u SAP'!$I$3:$I$501,'Plan rashoda za unos u SAP'!$C$3:$C$501,"=11",'Plan rashoda za unos u SAP'!$M$3:$M$501,"=371")+SUMIFS('ANALITIKA EU PROJEKATA'!$G$3:$G$501,'ANALITIKA EU PROJEKATA'!$A$3:$A$501,"=11",'ANALITIKA EU PROJEKATA'!$P$3:$P$501,"=371")</f>
        <v>0</v>
      </c>
      <c r="F31" s="140">
        <f>SUMIFS('Plan rashoda za unos u SAP'!$I$3:$I$501,'Plan rashoda za unos u SAP'!$C$3:$C$501,"=12",'Plan rashoda za unos u SAP'!$M$3:$M$501,"=371")+SUMIFS('ANALITIKA EU PROJEKATA'!$G$3:$G$501,'ANALITIKA EU PROJEKATA'!$A$3:$A$501,"=12",'ANALITIKA EU PROJEKATA'!$P$3:$P$501,"=371")</f>
        <v>0</v>
      </c>
      <c r="G31" s="140">
        <f>SUMIFS('Plan rashoda za unos u SAP'!$I$3:$I$501,'Plan rashoda za unos u SAP'!$C$3:$C$501,"=31",'Plan rashoda za unos u SAP'!$M$3:$M$501,"=371")+SUMIFS('ANALITIKA EU PROJEKATA'!$G$3:$G$501,'ANALITIKA EU PROJEKATA'!$A$3:$A$501,"=31",'ANALITIKA EU PROJEKATA'!$P$3:$P$501,"=371")</f>
        <v>0</v>
      </c>
      <c r="H31" s="140">
        <f>SUMIFS('Plan rashoda za unos u SAP'!$I$3:$I$501,'Plan rashoda za unos u SAP'!$C$3:$C$501,"=41",'Plan rashoda za unos u SAP'!$M$3:$M$501,"=371")+SUMIFS('ANALITIKA EU PROJEKATA'!$G$3:$G$501,'ANALITIKA EU PROJEKATA'!$A$3:$A$501,"=41",'ANALITIKA EU PROJEKATA'!$P$3:$P$501,"=371")</f>
        <v>0</v>
      </c>
      <c r="I31" s="140">
        <f>SUMIFS('Plan rashoda za unos u SAP'!$I$3:$I$501,'Plan rashoda za unos u SAP'!$C$3:$C$501,"=43",'Plan rashoda za unos u SAP'!$M$3:$M$501,"=371")+SUMIFS('ANALITIKA EU PROJEKATA'!$G$3:$G$501,'ANALITIKA EU PROJEKATA'!$A$3:$A$501,"=43",'ANALITIKA EU PROJEKATA'!$P$3:$P$501,"=371")</f>
        <v>0</v>
      </c>
      <c r="J31" s="140">
        <f>SUMIFS('Plan rashoda za unos u SAP'!$I$3:$I$501,'Plan rashoda za unos u SAP'!$C$3:$C$501,"=51",'Plan rashoda za unos u SAP'!$M$3:$M$501,"=371")+SUMIFS('ANALITIKA EU PROJEKATA'!$G$3:$G$501,'ANALITIKA EU PROJEKATA'!$A$3:$A$501,"=51",'ANALITIKA EU PROJEKATA'!$P$3:$P$501,"=371")</f>
        <v>0</v>
      </c>
      <c r="K31" s="140">
        <f>SUMIFS('Plan rashoda za unos u SAP'!$I$3:$I$501,'Plan rashoda za unos u SAP'!$C$3:$C$501,"=52",'Plan rashoda za unos u SAP'!$M$3:$M$501,"=371")+SUMIFS('ANALITIKA EU PROJEKATA'!$G$3:$G$501,'ANALITIKA EU PROJEKATA'!$A$3:$A$501,"=52",'ANALITIKA EU PROJEKATA'!$P$3:$P$501,"=371")</f>
        <v>0</v>
      </c>
      <c r="L31" s="140">
        <f>SUMIFS('Plan rashoda za unos u SAP'!$I$3:$I$501,'Plan rashoda za unos u SAP'!$C$3:$C$501,"=552",'Plan rashoda za unos u SAP'!$M$3:$M$501,"=371")+SUMIFS('ANALITIKA EU PROJEKATA'!$G$3:$G$501,'ANALITIKA EU PROJEKATA'!$A$3:$A$501,"=552",'ANALITIKA EU PROJEKATA'!$P$3:$P$501,"=371")</f>
        <v>0</v>
      </c>
      <c r="M31" s="140">
        <f>SUMIFS('Plan rashoda za unos u SAP'!$I$3:$I$501,'Plan rashoda za unos u SAP'!$C$3:$C$501,"=559",'Plan rashoda za unos u SAP'!$M$3:$M$501,"=371")+SUMIFS('ANALITIKA EU PROJEKATA'!$G$3:$G$501,'ANALITIKA EU PROJEKATA'!$A$3:$A$501,"=559",'ANALITIKA EU PROJEKATA'!$P$3:$P$501,"=371")</f>
        <v>0</v>
      </c>
      <c r="N31" s="140">
        <f>SUMIFS('Plan rashoda za unos u SAP'!$I$3:$I$501,'Plan rashoda za unos u SAP'!$C$3:$C$501,"=561",'Plan rashoda za unos u SAP'!$M$3:$M$501,"=371")+SUMIFS('ANALITIKA EU PROJEKATA'!$G$3:$G$501,'ANALITIKA EU PROJEKATA'!$A$3:$A$501,"=561",'ANALITIKA EU PROJEKATA'!$P$3:$P$501,"=371")</f>
        <v>0</v>
      </c>
      <c r="O31" s="140">
        <f>SUMIFS('Plan rashoda za unos u SAP'!$I$3:$I$501,'Plan rashoda za unos u SAP'!$C$3:$C$501,"=563",'Plan rashoda za unos u SAP'!$M$3:$M$501,"=371")+SUMIFS('ANALITIKA EU PROJEKATA'!$G$3:$G$501,'ANALITIKA EU PROJEKATA'!$A$3:$A$501,"=563",'ANALITIKA EU PROJEKATA'!$P$3:$P$501,"=371")</f>
        <v>0</v>
      </c>
      <c r="P31" s="140">
        <f>SUMIFS('Plan rashoda za unos u SAP'!$I$3:$I$501,'Plan rashoda za unos u SAP'!$C$3:$C$501,"=573",'Plan rashoda za unos u SAP'!$M$3:$M$501,"=371")+SUMIFS('ANALITIKA EU PROJEKATA'!$G$3:$G$501,'ANALITIKA EU PROJEKATA'!$A$3:$A$501,"=573",'ANALITIKA EU PROJEKATA'!$P$3:$P$501,"=371")</f>
        <v>0</v>
      </c>
      <c r="Q31" s="140">
        <f>SUMIFS('Plan rashoda za unos u SAP'!$I$3:$I$501,'Plan rashoda za unos u SAP'!$C$3:$C$501,"=575",'Plan rashoda za unos u SAP'!$M$3:$M$501,"=371")+SUMIFS('ANALITIKA EU PROJEKATA'!$G$3:$G$501,'ANALITIKA EU PROJEKATA'!$A$3:$A$501,"=575",'ANALITIKA EU PROJEKATA'!$P$3:$P$501,"=371")</f>
        <v>0</v>
      </c>
      <c r="R31" s="140">
        <f>SUMIFS('Plan rashoda za unos u SAP'!$I$3:$I$501,'Plan rashoda za unos u SAP'!$C$3:$C$501,"=576",'Plan rashoda za unos u SAP'!$M$3:$M$501,"=371")+SUMIFS('ANALITIKA EU PROJEKATA'!$G$3:$G$501,'ANALITIKA EU PROJEKATA'!$A$3:$A$501,"=576",'ANALITIKA EU PROJEKATA'!$P$3:$P$501,"=371")</f>
        <v>0</v>
      </c>
      <c r="S31" s="140">
        <f>SUMIFS('Plan rashoda za unos u SAP'!$I$3:$I$501,'Plan rashoda za unos u SAP'!$C$3:$C$501,"=61",'Plan rashoda za unos u SAP'!$M$3:$M$501,"=371")+SUMIFS('ANALITIKA EU PROJEKATA'!$G$3:$G$501,'ANALITIKA EU PROJEKATA'!$A$3:$A$501,"=61",'ANALITIKA EU PROJEKATA'!$P$3:$P$501,"=371")</f>
        <v>0</v>
      </c>
      <c r="T31" s="140">
        <f>SUMIFS('Plan rashoda za unos u SAP'!$I$3:$I$501,'Plan rashoda za unos u SAP'!$C$3:$C$501,"=63",'Plan rashoda za unos u SAP'!$M$3:$M$501,"=371")+SUMIFS('ANALITIKA EU PROJEKATA'!$G$3:$G$501,'ANALITIKA EU PROJEKATA'!$A$3:$A$501,"=63",'ANALITIKA EU PROJEKATA'!$P$3:$P$501,"=371")</f>
        <v>0</v>
      </c>
      <c r="U31" s="140">
        <f>SUMIFS('Plan rashoda za unos u SAP'!$I$3:$I$501,'Plan rashoda za unos u SAP'!$C$3:$C$501,"=71",'Plan rashoda za unos u SAP'!$M$3:$M$501,"=371")+SUMIFS('ANALITIKA EU PROJEKATA'!$G$3:$G$501,'ANALITIKA EU PROJEKATA'!$A$3:$A$501,"=71",'ANALITIKA EU PROJEKATA'!$P$3:$P$501,"=371")</f>
        <v>0</v>
      </c>
      <c r="V31" s="140">
        <f>SUMIFS('Plan rashoda za unos u SAP'!$I$3:$I$501,'Plan rashoda za unos u SAP'!$C$3:$C$501,"=81",'Plan rashoda za unos u SAP'!$M$3:$M$501,"=371")+SUMIFS('ANALITIKA EU PROJEKATA'!$G$3:$G$501,'ANALITIKA EU PROJEKATA'!$A$3:$A$501,"=81",'ANALITIKA EU PROJEKATA'!$P$3:$P$501,"=371")</f>
        <v>0</v>
      </c>
      <c r="W31" s="140">
        <f>SUMIFS('Plan rashoda za unos u SAP'!$I$3:$I$501,'Plan rashoda za unos u SAP'!$C$3:$C$501,"=83",'Plan rashoda za unos u SAP'!$M$3:$M$501,"=371")+SUMIFS('ANALITIKA EU PROJEKATA'!$G$3:$G$501,'ANALITIKA EU PROJEKATA'!$A$3:$A$501,"=83",'ANALITIKA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213</v>
      </c>
      <c r="D32" s="14">
        <f t="shared" si="1"/>
        <v>130000</v>
      </c>
      <c r="E32" s="140">
        <f>SUMIFS('Plan rashoda za unos u SAP'!$I$3:$I$501,'Plan rashoda za unos u SAP'!$C$3:$C$501,"=11",'Plan rashoda za unos u SAP'!$M$3:$M$501,"=372")+SUMIFS('ANALITIKA EU PROJEKATA'!$G$3:$G$501,'ANALITIKA EU PROJEKATA'!$A$3:$A$501,"=11",'ANALITIKA EU PROJEKATA'!$P$3:$P$501,"=372")</f>
        <v>0</v>
      </c>
      <c r="F32" s="140">
        <f>SUMIFS('Plan rashoda za unos u SAP'!$I$3:$I$501,'Plan rashoda za unos u SAP'!$C$3:$C$501,"=12",'Plan rashoda za unos u SAP'!$M$3:$M$501,"=372")+SUMIFS('ANALITIKA EU PROJEKATA'!$G$3:$G$501,'ANALITIKA EU PROJEKATA'!$A$3:$A$501,"=12",'ANALITIKA EU PROJEKATA'!$P$3:$P$501,"=372")</f>
        <v>0</v>
      </c>
      <c r="G32" s="140">
        <f>SUMIFS('Plan rashoda za unos u SAP'!$I$3:$I$501,'Plan rashoda za unos u SAP'!$C$3:$C$501,"=31",'Plan rashoda za unos u SAP'!$M$3:$M$501,"=372")+SUMIFS('ANALITIKA EU PROJEKATA'!$G$3:$G$501,'ANALITIKA EU PROJEKATA'!$A$3:$A$501,"=31",'ANALITIKA EU PROJEKATA'!$P$3:$P$501,"=372")</f>
        <v>130000</v>
      </c>
      <c r="H32" s="140">
        <f>SUMIFS('Plan rashoda za unos u SAP'!$I$3:$I$501,'Plan rashoda za unos u SAP'!$C$3:$C$501,"=41",'Plan rashoda za unos u SAP'!$M$3:$M$501,"=372")+SUMIFS('ANALITIKA EU PROJEKATA'!$G$3:$G$501,'ANALITIKA EU PROJEKATA'!$A$3:$A$501,"=41",'ANALITIKA EU PROJEKATA'!$P$3:$P$501,"=372")</f>
        <v>0</v>
      </c>
      <c r="I32" s="140">
        <f>SUMIFS('Plan rashoda za unos u SAP'!$I$3:$I$501,'Plan rashoda za unos u SAP'!$C$3:$C$501,"=43",'Plan rashoda za unos u SAP'!$M$3:$M$501,"=372")+SUMIFS('ANALITIKA EU PROJEKATA'!$G$3:$G$501,'ANALITIKA EU PROJEKATA'!$A$3:$A$501,"=43",'ANALITIKA EU PROJEKATA'!$P$3:$P$501,"=372")</f>
        <v>0</v>
      </c>
      <c r="J32" s="140">
        <f>SUMIFS('Plan rashoda za unos u SAP'!$I$3:$I$501,'Plan rashoda za unos u SAP'!$C$3:$C$501,"=51",'Plan rashoda za unos u SAP'!$M$3:$M$501,"=372")+SUMIFS('ANALITIKA EU PROJEKATA'!$G$3:$G$501,'ANALITIKA EU PROJEKATA'!$A$3:$A$501,"=51",'ANALITIKA EU PROJEKATA'!$P$3:$P$501,"=372")</f>
        <v>0</v>
      </c>
      <c r="K32" s="140">
        <f>SUMIFS('Plan rashoda za unos u SAP'!$I$3:$I$501,'Plan rashoda za unos u SAP'!$C$3:$C$501,"=52",'Plan rashoda za unos u SAP'!$M$3:$M$501,"=372")+SUMIFS('ANALITIKA EU PROJEKATA'!$G$3:$G$501,'ANALITIKA EU PROJEKATA'!$A$3:$A$501,"=52",'ANALITIKA EU PROJEKATA'!$P$3:$P$501,"=372")</f>
        <v>0</v>
      </c>
      <c r="L32" s="140">
        <f>SUMIFS('Plan rashoda za unos u SAP'!$I$3:$I$501,'Plan rashoda za unos u SAP'!$C$3:$C$501,"=552",'Plan rashoda za unos u SAP'!$M$3:$M$501,"=372")+SUMIFS('ANALITIKA EU PROJEKATA'!$G$3:$G$501,'ANALITIKA EU PROJEKATA'!$A$3:$A$501,"=552",'ANALITIKA EU PROJEKATA'!$P$3:$P$501,"=372")</f>
        <v>0</v>
      </c>
      <c r="M32" s="140">
        <f>SUMIFS('Plan rashoda za unos u SAP'!$I$3:$I$501,'Plan rashoda za unos u SAP'!$C$3:$C$501,"=559",'Plan rashoda za unos u SAP'!$M$3:$M$501,"=372")+SUMIFS('ANALITIKA EU PROJEKATA'!$G$3:$G$501,'ANALITIKA EU PROJEKATA'!$A$3:$A$501,"=559",'ANALITIKA EU PROJEKATA'!$P$3:$P$501,"=372")</f>
        <v>0</v>
      </c>
      <c r="N32" s="140">
        <f>SUMIFS('Plan rashoda za unos u SAP'!$I$3:$I$501,'Plan rashoda za unos u SAP'!$C$3:$C$501,"=561",'Plan rashoda za unos u SAP'!$M$3:$M$501,"=372")+SUMIFS('ANALITIKA EU PROJEKATA'!$G$3:$G$501,'ANALITIKA EU PROJEKATA'!$A$3:$A$501,"=561",'ANALITIKA EU PROJEKATA'!$P$3:$P$501,"=372")</f>
        <v>0</v>
      </c>
      <c r="O32" s="140">
        <f>SUMIFS('Plan rashoda za unos u SAP'!$I$3:$I$501,'Plan rashoda za unos u SAP'!$C$3:$C$501,"=563",'Plan rashoda za unos u SAP'!$M$3:$M$501,"=372")+SUMIFS('ANALITIKA EU PROJEKATA'!$G$3:$G$501,'ANALITIKA EU PROJEKATA'!$A$3:$A$501,"=563",'ANALITIKA EU PROJEKATA'!$P$3:$P$501,"=372")</f>
        <v>0</v>
      </c>
      <c r="P32" s="140">
        <f>SUMIFS('Plan rashoda za unos u SAP'!$I$3:$I$501,'Plan rashoda za unos u SAP'!$C$3:$C$501,"=573",'Plan rashoda za unos u SAP'!$M$3:$M$501,"=372")+SUMIFS('ANALITIKA EU PROJEKATA'!$G$3:$G$501,'ANALITIKA EU PROJEKATA'!$A$3:$A$501,"=573",'ANALITIKA EU PROJEKATA'!$P$3:$P$501,"=372")</f>
        <v>0</v>
      </c>
      <c r="Q32" s="140">
        <f>SUMIFS('Plan rashoda za unos u SAP'!$I$3:$I$501,'Plan rashoda za unos u SAP'!$C$3:$C$501,"=575",'Plan rashoda za unos u SAP'!$M$3:$M$501,"=372")+SUMIFS('ANALITIKA EU PROJEKATA'!$G$3:$G$501,'ANALITIKA EU PROJEKATA'!$A$3:$A$501,"=575",'ANALITIKA EU PROJEKATA'!$P$3:$P$501,"=372")</f>
        <v>0</v>
      </c>
      <c r="R32" s="140">
        <f>SUMIFS('Plan rashoda za unos u SAP'!$I$3:$I$501,'Plan rashoda za unos u SAP'!$C$3:$C$501,"=576",'Plan rashoda za unos u SAP'!$M$3:$M$501,"=372")+SUMIFS('ANALITIKA EU PROJEKATA'!$G$3:$G$501,'ANALITIKA EU PROJEKATA'!$A$3:$A$501,"=576",'ANALITIKA EU PROJEKATA'!$P$3:$P$501,"=372")</f>
        <v>0</v>
      </c>
      <c r="S32" s="140">
        <f>SUMIFS('Plan rashoda za unos u SAP'!$I$3:$I$501,'Plan rashoda za unos u SAP'!$C$3:$C$501,"=61",'Plan rashoda za unos u SAP'!$M$3:$M$501,"=372")+SUMIFS('ANALITIKA EU PROJEKATA'!$G$3:$G$501,'ANALITIKA EU PROJEKATA'!$A$3:$A$501,"=61",'ANALITIKA EU PROJEKATA'!$P$3:$P$501,"=372")</f>
        <v>0</v>
      </c>
      <c r="T32" s="140">
        <f>SUMIFS('Plan rashoda za unos u SAP'!$I$3:$I$501,'Plan rashoda za unos u SAP'!$C$3:$C$501,"=63",'Plan rashoda za unos u SAP'!$M$3:$M$501,"=372")+SUMIFS('ANALITIKA EU PROJEKATA'!$G$3:$G$501,'ANALITIKA EU PROJEKATA'!$A$3:$A$501,"=63",'ANALITIKA EU PROJEKATA'!$P$3:$P$501,"=372")</f>
        <v>0</v>
      </c>
      <c r="U32" s="140">
        <f>SUMIFS('Plan rashoda za unos u SAP'!$I$3:$I$501,'Plan rashoda za unos u SAP'!$C$3:$C$501,"=71",'Plan rashoda za unos u SAP'!$M$3:$M$501,"=372")+SUMIFS('ANALITIKA EU PROJEKATA'!$G$3:$G$501,'ANALITIKA EU PROJEKATA'!$A$3:$A$501,"=71",'ANALITIKA EU PROJEKATA'!$P$3:$P$501,"=372")</f>
        <v>0</v>
      </c>
      <c r="V32" s="140">
        <f>SUMIFS('Plan rashoda za unos u SAP'!$I$3:$I$501,'Plan rashoda za unos u SAP'!$C$3:$C$501,"=81",'Plan rashoda za unos u SAP'!$M$3:$M$501,"=372")+SUMIFS('ANALITIKA EU PROJEKATA'!$G$3:$G$501,'ANALITIKA EU PROJEKATA'!$A$3:$A$501,"=81",'ANALITIKA EU PROJEKATA'!$P$3:$P$501,"=372")</f>
        <v>0</v>
      </c>
      <c r="W32" s="140">
        <f>SUMIFS('Plan rashoda za unos u SAP'!$I$3:$I$501,'Plan rashoda za unos u SAP'!$C$3:$C$501,"=83",'Plan rashoda za unos u SAP'!$M$3:$M$501,"=372")+SUMIFS('ANALITIKA EU PROJEKATA'!$G$3:$G$501,'ANALITIKA EU PROJEKATA'!$A$3:$A$501,"=83",'ANALITIKA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214</v>
      </c>
      <c r="D33" s="4">
        <f t="shared" si="1"/>
        <v>0</v>
      </c>
      <c r="E33" s="4">
        <f t="shared" ref="E33:W33" si="9">SUM(E34:E37)</f>
        <v>0</v>
      </c>
      <c r="F33" s="4">
        <f t="shared" si="9"/>
        <v>0</v>
      </c>
      <c r="G33" s="4">
        <f t="shared" si="9"/>
        <v>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 t="shared" si="9"/>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215</v>
      </c>
      <c r="D34" s="14">
        <f t="shared" si="1"/>
        <v>0</v>
      </c>
      <c r="E34" s="140">
        <f>SUMIFS('Plan rashoda za unos u SAP'!$I$3:$I$501,'Plan rashoda za unos u SAP'!$C$3:$C$501,"=11",'Plan rashoda za unos u SAP'!$M$3:$M$501,"=381")+SUMIFS('ANALITIKA EU PROJEKATA'!$G$3:$G$501,'ANALITIKA EU PROJEKATA'!$A$3:$A$501,"=11",'ANALITIKA EU PROJEKATA'!$P$3:$P$501,"=381")</f>
        <v>0</v>
      </c>
      <c r="F34" s="140">
        <f>SUMIFS('Plan rashoda za unos u SAP'!$I$3:$I$501,'Plan rashoda za unos u SAP'!$C$3:$C$501,"=12",'Plan rashoda za unos u SAP'!$M$3:$M$501,"=381")+SUMIFS('ANALITIKA EU PROJEKATA'!$G$3:$G$501,'ANALITIKA EU PROJEKATA'!$A$3:$A$501,"=12",'ANALITIKA EU PROJEKATA'!$P$3:$P$501,"=381")</f>
        <v>0</v>
      </c>
      <c r="G34" s="140">
        <f>SUMIFS('Plan rashoda za unos u SAP'!$I$3:$I$501,'Plan rashoda za unos u SAP'!$C$3:$C$501,"=31",'Plan rashoda za unos u SAP'!$M$3:$M$501,"=381")+SUMIFS('ANALITIKA EU PROJEKATA'!$G$3:$G$501,'ANALITIKA EU PROJEKATA'!$A$3:$A$501,"=31",'ANALITIKA EU PROJEKATA'!$P$3:$P$501,"=381")</f>
        <v>0</v>
      </c>
      <c r="H34" s="140">
        <f>SUMIFS('Plan rashoda za unos u SAP'!$I$3:$I$501,'Plan rashoda za unos u SAP'!$C$3:$C$501,"=41",'Plan rashoda za unos u SAP'!$M$3:$M$501,"=381")+SUMIFS('ANALITIKA EU PROJEKATA'!$G$3:$G$501,'ANALITIKA EU PROJEKATA'!$A$3:$A$501,"=41",'ANALITIKA EU PROJEKATA'!$P$3:$P$501,"=381")</f>
        <v>0</v>
      </c>
      <c r="I34" s="140">
        <f>SUMIFS('Plan rashoda za unos u SAP'!$I$3:$I$501,'Plan rashoda za unos u SAP'!$C$3:$C$501,"=43",'Plan rashoda za unos u SAP'!$M$3:$M$501,"=381")+SUMIFS('ANALITIKA EU PROJEKATA'!$G$3:$G$501,'ANALITIKA EU PROJEKATA'!$A$3:$A$501,"=43",'ANALITIKA EU PROJEKATA'!$P$3:$P$501,"=381")</f>
        <v>0</v>
      </c>
      <c r="J34" s="140">
        <f>SUMIFS('Plan rashoda za unos u SAP'!$I$3:$I$501,'Plan rashoda za unos u SAP'!$C$3:$C$501,"=51",'Plan rashoda za unos u SAP'!$M$3:$M$501,"=381")+SUMIFS('ANALITIKA EU PROJEKATA'!$G$3:$G$501,'ANALITIKA EU PROJEKATA'!$A$3:$A$501,"=51",'ANALITIKA EU PROJEKATA'!$P$3:$P$501,"=381")</f>
        <v>0</v>
      </c>
      <c r="K34" s="140">
        <f>SUMIFS('Plan rashoda za unos u SAP'!$I$3:$I$501,'Plan rashoda za unos u SAP'!$C$3:$C$501,"=52",'Plan rashoda za unos u SAP'!$M$3:$M$501,"=381")+SUMIFS('ANALITIKA EU PROJEKATA'!$G$3:$G$501,'ANALITIKA EU PROJEKATA'!$A$3:$A$501,"=52",'ANALITIKA EU PROJEKATA'!$P$3:$P$501,"=381")</f>
        <v>0</v>
      </c>
      <c r="L34" s="140">
        <f>SUMIFS('Plan rashoda za unos u SAP'!$I$3:$I$501,'Plan rashoda za unos u SAP'!$C$3:$C$501,"=552",'Plan rashoda za unos u SAP'!$M$3:$M$501,"=381")+SUMIFS('ANALITIKA EU PROJEKATA'!$G$3:$G$501,'ANALITIKA EU PROJEKATA'!$A$3:$A$501,"=552",'ANALITIKA EU PROJEKATA'!$P$3:$P$501,"=381")</f>
        <v>0</v>
      </c>
      <c r="M34" s="140">
        <f>SUMIFS('Plan rashoda za unos u SAP'!$I$3:$I$501,'Plan rashoda za unos u SAP'!$C$3:$C$501,"=559",'Plan rashoda za unos u SAP'!$M$3:$M$501,"=381")+SUMIFS('ANALITIKA EU PROJEKATA'!$G$3:$G$501,'ANALITIKA EU PROJEKATA'!$A$3:$A$501,"=559",'ANALITIKA EU PROJEKATA'!$P$3:$P$501,"=381")</f>
        <v>0</v>
      </c>
      <c r="N34" s="140">
        <f>SUMIFS('Plan rashoda za unos u SAP'!$I$3:$I$501,'Plan rashoda za unos u SAP'!$C$3:$C$501,"=561",'Plan rashoda za unos u SAP'!$M$3:$M$501,"=381")+SUMIFS('ANALITIKA EU PROJEKATA'!$G$3:$G$501,'ANALITIKA EU PROJEKATA'!$A$3:$A$501,"=561",'ANALITIKA EU PROJEKATA'!$P$3:$P$501,"=381")</f>
        <v>0</v>
      </c>
      <c r="O34" s="140">
        <f>SUMIFS('Plan rashoda za unos u SAP'!$I$3:$I$501,'Plan rashoda za unos u SAP'!$C$3:$C$501,"=563",'Plan rashoda za unos u SAP'!$M$3:$M$501,"=381")+SUMIFS('ANALITIKA EU PROJEKATA'!$G$3:$G$501,'ANALITIKA EU PROJEKATA'!$A$3:$A$501,"=563",'ANALITIKA EU PROJEKATA'!$P$3:$P$501,"=381")</f>
        <v>0</v>
      </c>
      <c r="P34" s="140">
        <f>SUMIFS('Plan rashoda za unos u SAP'!$I$3:$I$501,'Plan rashoda za unos u SAP'!$C$3:$C$501,"=573",'Plan rashoda za unos u SAP'!$M$3:$M$501,"=381")+SUMIFS('ANALITIKA EU PROJEKATA'!$G$3:$G$501,'ANALITIKA EU PROJEKATA'!$A$3:$A$501,"=573",'ANALITIKA EU PROJEKATA'!$P$3:$P$501,"=381")</f>
        <v>0</v>
      </c>
      <c r="Q34" s="140">
        <f>SUMIFS('Plan rashoda za unos u SAP'!$I$3:$I$501,'Plan rashoda za unos u SAP'!$C$3:$C$501,"=575",'Plan rashoda za unos u SAP'!$M$3:$M$501,"=381")+SUMIFS('ANALITIKA EU PROJEKATA'!$G$3:$G$501,'ANALITIKA EU PROJEKATA'!$A$3:$A$501,"=575",'ANALITIKA EU PROJEKATA'!$P$3:$P$501,"=381")</f>
        <v>0</v>
      </c>
      <c r="R34" s="140">
        <f>SUMIFS('Plan rashoda za unos u SAP'!$I$3:$I$501,'Plan rashoda za unos u SAP'!$C$3:$C$501,"=576",'Plan rashoda za unos u SAP'!$M$3:$M$501,"=381")+SUMIFS('ANALITIKA EU PROJEKATA'!$G$3:$G$501,'ANALITIKA EU PROJEKATA'!$A$3:$A$501,"=576",'ANALITIKA EU PROJEKATA'!$P$3:$P$501,"=381")</f>
        <v>0</v>
      </c>
      <c r="S34" s="140">
        <f>SUMIFS('Plan rashoda za unos u SAP'!$I$3:$I$501,'Plan rashoda za unos u SAP'!$C$3:$C$501,"=61",'Plan rashoda za unos u SAP'!$M$3:$M$501,"=381")+SUMIFS('ANALITIKA EU PROJEKATA'!$G$3:$G$501,'ANALITIKA EU PROJEKATA'!$A$3:$A$501,"=61",'ANALITIKA EU PROJEKATA'!$P$3:$P$501,"=381")</f>
        <v>0</v>
      </c>
      <c r="T34" s="140">
        <f>SUMIFS('Plan rashoda za unos u SAP'!$I$3:$I$501,'Plan rashoda za unos u SAP'!$C$3:$C$501,"=63",'Plan rashoda za unos u SAP'!$M$3:$M$501,"=381")+SUMIFS('ANALITIKA EU PROJEKATA'!$G$3:$G$501,'ANALITIKA EU PROJEKATA'!$A$3:$A$501,"=63",'ANALITIKA EU PROJEKATA'!$P$3:$P$501,"=381")</f>
        <v>0</v>
      </c>
      <c r="U34" s="140">
        <f>SUMIFS('Plan rashoda za unos u SAP'!$I$3:$I$501,'Plan rashoda za unos u SAP'!$C$3:$C$501,"=71",'Plan rashoda za unos u SAP'!$M$3:$M$501,"=381")+SUMIFS('ANALITIKA EU PROJEKATA'!$G$3:$G$501,'ANALITIKA EU PROJEKATA'!$A$3:$A$501,"=71",'ANALITIKA EU PROJEKATA'!$P$3:$P$501,"=381")</f>
        <v>0</v>
      </c>
      <c r="V34" s="140">
        <f>SUMIFS('Plan rashoda za unos u SAP'!$I$3:$I$501,'Plan rashoda za unos u SAP'!$C$3:$C$501,"=81",'Plan rashoda za unos u SAP'!$M$3:$M$501,"=381")+SUMIFS('ANALITIKA EU PROJEKATA'!$G$3:$G$501,'ANALITIKA EU PROJEKATA'!$A$3:$A$501,"=81",'ANALITIKA EU PROJEKATA'!$P$3:$P$501,"=381")</f>
        <v>0</v>
      </c>
      <c r="W34" s="140">
        <f>SUMIFS('Plan rashoda za unos u SAP'!$I$3:$I$501,'Plan rashoda za unos u SAP'!$C$3:$C$501,"=83",'Plan rashoda za unos u SAP'!$M$3:$M$501,"=381")+SUMIFS('ANALITIKA EU PROJEKATA'!$G$3:$G$501,'ANALITIKA EU PROJEKATA'!$A$3:$A$501,"=83",'ANALITIKA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337</v>
      </c>
      <c r="D35" s="14">
        <f t="shared" si="1"/>
        <v>0</v>
      </c>
      <c r="E35" s="140">
        <f>SUMIFS('Plan rashoda za unos u SAP'!$I$3:$I$501,'Plan rashoda za unos u SAP'!$C$3:$C$501,"=11",'Plan rashoda za unos u SAP'!$M$3:$M$501,"=382")+SUMIFS('ANALITIKA EU PROJEKATA'!$G$3:$G$501,'ANALITIKA EU PROJEKATA'!$A$3:$A$501,"=11",'ANALITIKA EU PROJEKATA'!$P$3:$P$501,"=382")</f>
        <v>0</v>
      </c>
      <c r="F35" s="140">
        <f>SUMIFS('Plan rashoda za unos u SAP'!$I$3:$I$501,'Plan rashoda za unos u SAP'!$C$3:$C$501,"=12",'Plan rashoda za unos u SAP'!$M$3:$M$501,"=382")+SUMIFS('ANALITIKA EU PROJEKATA'!$G$3:$G$501,'ANALITIKA EU PROJEKATA'!$A$3:$A$501,"=12",'ANALITIKA EU PROJEKATA'!$P$3:$P$501,"=382")</f>
        <v>0</v>
      </c>
      <c r="G35" s="140">
        <f>SUMIFS('Plan rashoda za unos u SAP'!$I$3:$I$501,'Plan rashoda za unos u SAP'!$C$3:$C$501,"=31",'Plan rashoda za unos u SAP'!$M$3:$M$501,"=382")+SUMIFS('ANALITIKA EU PROJEKATA'!$G$3:$G$501,'ANALITIKA EU PROJEKATA'!$A$3:$A$501,"=31",'ANALITIKA EU PROJEKATA'!$P$3:$P$501,"=382")</f>
        <v>0</v>
      </c>
      <c r="H35" s="140">
        <f>SUMIFS('Plan rashoda za unos u SAP'!$I$3:$I$501,'Plan rashoda za unos u SAP'!$C$3:$C$501,"=41",'Plan rashoda za unos u SAP'!$M$3:$M$501,"=382")+SUMIFS('ANALITIKA EU PROJEKATA'!$G$3:$G$501,'ANALITIKA EU PROJEKATA'!$A$3:$A$501,"=41",'ANALITIKA EU PROJEKATA'!$P$3:$P$501,"=382")</f>
        <v>0</v>
      </c>
      <c r="I35" s="140">
        <f>SUMIFS('Plan rashoda za unos u SAP'!$I$3:$I$501,'Plan rashoda za unos u SAP'!$C$3:$C$501,"=43",'Plan rashoda za unos u SAP'!$M$3:$M$501,"=382")+SUMIFS('ANALITIKA EU PROJEKATA'!$G$3:$G$501,'ANALITIKA EU PROJEKATA'!$A$3:$A$501,"=43",'ANALITIKA EU PROJEKATA'!$P$3:$P$501,"=382")</f>
        <v>0</v>
      </c>
      <c r="J35" s="140">
        <f>SUMIFS('Plan rashoda za unos u SAP'!$I$3:$I$501,'Plan rashoda za unos u SAP'!$C$3:$C$501,"=51",'Plan rashoda za unos u SAP'!$M$3:$M$501,"=382")+SUMIFS('ANALITIKA EU PROJEKATA'!$G$3:$G$501,'ANALITIKA EU PROJEKATA'!$A$3:$A$501,"=51",'ANALITIKA EU PROJEKATA'!$P$3:$P$501,"=382")</f>
        <v>0</v>
      </c>
      <c r="K35" s="140">
        <f>SUMIFS('Plan rashoda za unos u SAP'!$I$3:$I$501,'Plan rashoda za unos u SAP'!$C$3:$C$501,"=52",'Plan rashoda za unos u SAP'!$M$3:$M$501,"=382")+SUMIFS('ANALITIKA EU PROJEKATA'!$G$3:$G$501,'ANALITIKA EU PROJEKATA'!$A$3:$A$501,"=52",'ANALITIKA EU PROJEKATA'!$P$3:$P$501,"=382")</f>
        <v>0</v>
      </c>
      <c r="L35" s="140">
        <f>SUMIFS('Plan rashoda za unos u SAP'!$I$3:$I$501,'Plan rashoda za unos u SAP'!$C$3:$C$501,"=552",'Plan rashoda za unos u SAP'!$M$3:$M$501,"=382")+SUMIFS('ANALITIKA EU PROJEKATA'!$G$3:$G$501,'ANALITIKA EU PROJEKATA'!$A$3:$A$501,"=552",'ANALITIKA EU PROJEKATA'!$P$3:$P$501,"=382")</f>
        <v>0</v>
      </c>
      <c r="M35" s="140">
        <f>SUMIFS('Plan rashoda za unos u SAP'!$I$3:$I$501,'Plan rashoda za unos u SAP'!$C$3:$C$501,"=559",'Plan rashoda za unos u SAP'!$M$3:$M$501,"=382")+SUMIFS('ANALITIKA EU PROJEKATA'!$G$3:$G$501,'ANALITIKA EU PROJEKATA'!$A$3:$A$501,"=559",'ANALITIKA EU PROJEKATA'!$P$3:$P$501,"=382")</f>
        <v>0</v>
      </c>
      <c r="N35" s="140">
        <f>SUMIFS('Plan rashoda za unos u SAP'!$I$3:$I$501,'Plan rashoda za unos u SAP'!$C$3:$C$501,"=561",'Plan rashoda za unos u SAP'!$M$3:$M$501,"=382")+SUMIFS('ANALITIKA EU PROJEKATA'!$G$3:$G$501,'ANALITIKA EU PROJEKATA'!$A$3:$A$501,"=561",'ANALITIKA EU PROJEKATA'!$P$3:$P$501,"=382")</f>
        <v>0</v>
      </c>
      <c r="O35" s="140">
        <f>SUMIFS('Plan rashoda za unos u SAP'!$I$3:$I$501,'Plan rashoda za unos u SAP'!$C$3:$C$501,"=563",'Plan rashoda za unos u SAP'!$M$3:$M$501,"=382")+SUMIFS('ANALITIKA EU PROJEKATA'!$G$3:$G$501,'ANALITIKA EU PROJEKATA'!$A$3:$A$501,"=563",'ANALITIKA EU PROJEKATA'!$P$3:$P$501,"=382")</f>
        <v>0</v>
      </c>
      <c r="P35" s="140">
        <f>SUMIFS('Plan rashoda za unos u SAP'!$I$3:$I$501,'Plan rashoda za unos u SAP'!$C$3:$C$501,"=573",'Plan rashoda za unos u SAP'!$M$3:$M$501,"=382")+SUMIFS('ANALITIKA EU PROJEKATA'!$G$3:$G$501,'ANALITIKA EU PROJEKATA'!$A$3:$A$501,"=573",'ANALITIKA EU PROJEKATA'!$P$3:$P$501,"=382")</f>
        <v>0</v>
      </c>
      <c r="Q35" s="140">
        <f>SUMIFS('Plan rashoda za unos u SAP'!$I$3:$I$501,'Plan rashoda za unos u SAP'!$C$3:$C$501,"=575",'Plan rashoda za unos u SAP'!$M$3:$M$501,"=382")+SUMIFS('ANALITIKA EU PROJEKATA'!$G$3:$G$501,'ANALITIKA EU PROJEKATA'!$A$3:$A$501,"=575",'ANALITIKA EU PROJEKATA'!$P$3:$P$501,"=382")</f>
        <v>0</v>
      </c>
      <c r="R35" s="140">
        <f>SUMIFS('Plan rashoda za unos u SAP'!$I$3:$I$501,'Plan rashoda za unos u SAP'!$C$3:$C$501,"=576",'Plan rashoda za unos u SAP'!$M$3:$M$501,"=382")+SUMIFS('ANALITIKA EU PROJEKATA'!$G$3:$G$501,'ANALITIKA EU PROJEKATA'!$A$3:$A$501,"=576",'ANALITIKA EU PROJEKATA'!$P$3:$P$501,"=382")</f>
        <v>0</v>
      </c>
      <c r="S35" s="140">
        <f>SUMIFS('Plan rashoda za unos u SAP'!$I$3:$I$501,'Plan rashoda za unos u SAP'!$C$3:$C$501,"=61",'Plan rashoda za unos u SAP'!$M$3:$M$501,"=382")+SUMIFS('ANALITIKA EU PROJEKATA'!$G$3:$G$501,'ANALITIKA EU PROJEKATA'!$A$3:$A$501,"=61",'ANALITIKA EU PROJEKATA'!$P$3:$P$501,"=382")</f>
        <v>0</v>
      </c>
      <c r="T35" s="140">
        <f>SUMIFS('Plan rashoda za unos u SAP'!$I$3:$I$501,'Plan rashoda za unos u SAP'!$C$3:$C$501,"=63",'Plan rashoda za unos u SAP'!$M$3:$M$501,"=382")+SUMIFS('ANALITIKA EU PROJEKATA'!$G$3:$G$501,'ANALITIKA EU PROJEKATA'!$A$3:$A$501,"=63",'ANALITIKA EU PROJEKATA'!$P$3:$P$501,"=382")</f>
        <v>0</v>
      </c>
      <c r="U35" s="140">
        <f>SUMIFS('Plan rashoda za unos u SAP'!$I$3:$I$501,'Plan rashoda za unos u SAP'!$C$3:$C$501,"=71",'Plan rashoda za unos u SAP'!$M$3:$M$501,"=382")+SUMIFS('ANALITIKA EU PROJEKATA'!$G$3:$G$501,'ANALITIKA EU PROJEKATA'!$A$3:$A$501,"=71",'ANALITIKA EU PROJEKATA'!$P$3:$P$501,"=382")</f>
        <v>0</v>
      </c>
      <c r="V35" s="140">
        <f>SUMIFS('Plan rashoda za unos u SAP'!$I$3:$I$501,'Plan rashoda za unos u SAP'!$C$3:$C$501,"=81",'Plan rashoda za unos u SAP'!$M$3:$M$501,"=382")+SUMIFS('ANALITIKA EU PROJEKATA'!$G$3:$G$501,'ANALITIKA EU PROJEKATA'!$A$3:$A$501,"=81",'ANALITIKA EU PROJEKATA'!$P$3:$P$501,"=382")</f>
        <v>0</v>
      </c>
      <c r="W35" s="140">
        <f>SUMIFS('Plan rashoda za unos u SAP'!$I$3:$I$501,'Plan rashoda za unos u SAP'!$C$3:$C$501,"=83",'Plan rashoda za unos u SAP'!$M$3:$M$501,"=382")+SUMIFS('ANALITIKA EU PROJEKATA'!$G$3:$G$501,'ANALITIKA EU PROJEKATA'!$A$3:$A$501,"=83",'ANALITIKA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338</v>
      </c>
      <c r="D36" s="14">
        <f t="shared" si="1"/>
        <v>0</v>
      </c>
      <c r="E36" s="140">
        <f>SUMIFS('Plan rashoda za unos u SAP'!$I$3:$I$501,'Plan rashoda za unos u SAP'!$C$3:$C$501,"=11",'Plan rashoda za unos u SAP'!$M$3:$M$501,"=383")+SUMIFS('ANALITIKA EU PROJEKATA'!$G$3:$G$501,'ANALITIKA EU PROJEKATA'!$A$3:$A$501,"=11",'ANALITIKA EU PROJEKATA'!$P$3:$P$501,"=383")</f>
        <v>0</v>
      </c>
      <c r="F36" s="140">
        <f>SUMIFS('Plan rashoda za unos u SAP'!$I$3:$I$501,'Plan rashoda za unos u SAP'!$C$3:$C$501,"=12",'Plan rashoda za unos u SAP'!$M$3:$M$501,"=383")+SUMIFS('ANALITIKA EU PROJEKATA'!$G$3:$G$501,'ANALITIKA EU PROJEKATA'!$A$3:$A$501,"=12",'ANALITIKA EU PROJEKATA'!$P$3:$P$501,"=383")</f>
        <v>0</v>
      </c>
      <c r="G36" s="140">
        <f>SUMIFS('Plan rashoda za unos u SAP'!$I$3:$I$501,'Plan rashoda za unos u SAP'!$C$3:$C$501,"=31",'Plan rashoda za unos u SAP'!$M$3:$M$501,"=383")+SUMIFS('ANALITIKA EU PROJEKATA'!$G$3:$G$501,'ANALITIKA EU PROJEKATA'!$A$3:$A$501,"=31",'ANALITIKA EU PROJEKATA'!$P$3:$P$501,"=383")</f>
        <v>0</v>
      </c>
      <c r="H36" s="140">
        <f>SUMIFS('Plan rashoda za unos u SAP'!$I$3:$I$501,'Plan rashoda za unos u SAP'!$C$3:$C$501,"=41",'Plan rashoda za unos u SAP'!$M$3:$M$501,"=383")+SUMIFS('ANALITIKA EU PROJEKATA'!$G$3:$G$501,'ANALITIKA EU PROJEKATA'!$A$3:$A$501,"=41",'ANALITIKA EU PROJEKATA'!$P$3:$P$501,"=383")</f>
        <v>0</v>
      </c>
      <c r="I36" s="140">
        <f>SUMIFS('Plan rashoda za unos u SAP'!$I$3:$I$501,'Plan rashoda za unos u SAP'!$C$3:$C$501,"=43",'Plan rashoda za unos u SAP'!$M$3:$M$501,"=383")+SUMIFS('ANALITIKA EU PROJEKATA'!$G$3:$G$501,'ANALITIKA EU PROJEKATA'!$A$3:$A$501,"=43",'ANALITIKA EU PROJEKATA'!$P$3:$P$501,"=383")</f>
        <v>0</v>
      </c>
      <c r="J36" s="140">
        <f>SUMIFS('Plan rashoda za unos u SAP'!$I$3:$I$501,'Plan rashoda za unos u SAP'!$C$3:$C$501,"=51",'Plan rashoda za unos u SAP'!$M$3:$M$501,"=383")+SUMIFS('ANALITIKA EU PROJEKATA'!$G$3:$G$501,'ANALITIKA EU PROJEKATA'!$A$3:$A$501,"=51",'ANALITIKA EU PROJEKATA'!$P$3:$P$501,"=383")</f>
        <v>0</v>
      </c>
      <c r="K36" s="140">
        <f>SUMIFS('Plan rashoda za unos u SAP'!$I$3:$I$501,'Plan rashoda za unos u SAP'!$C$3:$C$501,"=52",'Plan rashoda za unos u SAP'!$M$3:$M$501,"=383")+SUMIFS('ANALITIKA EU PROJEKATA'!$G$3:$G$501,'ANALITIKA EU PROJEKATA'!$A$3:$A$501,"=52",'ANALITIKA EU PROJEKATA'!$P$3:$P$501,"=383")</f>
        <v>0</v>
      </c>
      <c r="L36" s="140">
        <f>SUMIFS('Plan rashoda za unos u SAP'!$I$3:$I$501,'Plan rashoda za unos u SAP'!$C$3:$C$501,"=552",'Plan rashoda za unos u SAP'!$M$3:$M$501,"=383")+SUMIFS('ANALITIKA EU PROJEKATA'!$G$3:$G$501,'ANALITIKA EU PROJEKATA'!$A$3:$A$501,"=552",'ANALITIKA EU PROJEKATA'!$P$3:$P$501,"=383")</f>
        <v>0</v>
      </c>
      <c r="M36" s="140">
        <f>SUMIFS('Plan rashoda za unos u SAP'!$I$3:$I$501,'Plan rashoda za unos u SAP'!$C$3:$C$501,"=559",'Plan rashoda za unos u SAP'!$M$3:$M$501,"=383")+SUMIFS('ANALITIKA EU PROJEKATA'!$G$3:$G$501,'ANALITIKA EU PROJEKATA'!$A$3:$A$501,"=559",'ANALITIKA EU PROJEKATA'!$P$3:$P$501,"=383")</f>
        <v>0</v>
      </c>
      <c r="N36" s="140">
        <f>SUMIFS('Plan rashoda za unos u SAP'!$I$3:$I$501,'Plan rashoda za unos u SAP'!$C$3:$C$501,"=561",'Plan rashoda za unos u SAP'!$M$3:$M$501,"=383")+SUMIFS('ANALITIKA EU PROJEKATA'!$G$3:$G$501,'ANALITIKA EU PROJEKATA'!$A$3:$A$501,"=561",'ANALITIKA EU PROJEKATA'!$P$3:$P$501,"=383")</f>
        <v>0</v>
      </c>
      <c r="O36" s="140">
        <f>SUMIFS('Plan rashoda za unos u SAP'!$I$3:$I$501,'Plan rashoda za unos u SAP'!$C$3:$C$501,"=563",'Plan rashoda za unos u SAP'!$M$3:$M$501,"=383")+SUMIFS('ANALITIKA EU PROJEKATA'!$G$3:$G$501,'ANALITIKA EU PROJEKATA'!$A$3:$A$501,"=563",'ANALITIKA EU PROJEKATA'!$P$3:$P$501,"=383")</f>
        <v>0</v>
      </c>
      <c r="P36" s="140">
        <f>SUMIFS('Plan rashoda za unos u SAP'!$I$3:$I$501,'Plan rashoda za unos u SAP'!$C$3:$C$501,"=573",'Plan rashoda za unos u SAP'!$M$3:$M$501,"=383")+SUMIFS('ANALITIKA EU PROJEKATA'!$G$3:$G$501,'ANALITIKA EU PROJEKATA'!$A$3:$A$501,"=573",'ANALITIKA EU PROJEKATA'!$P$3:$P$501,"=383")</f>
        <v>0</v>
      </c>
      <c r="Q36" s="140">
        <f>SUMIFS('Plan rashoda za unos u SAP'!$I$3:$I$501,'Plan rashoda za unos u SAP'!$C$3:$C$501,"=575",'Plan rashoda za unos u SAP'!$M$3:$M$501,"=383")+SUMIFS('ANALITIKA EU PROJEKATA'!$G$3:$G$501,'ANALITIKA EU PROJEKATA'!$A$3:$A$501,"=575",'ANALITIKA EU PROJEKATA'!$P$3:$P$501,"=383")</f>
        <v>0</v>
      </c>
      <c r="R36" s="140">
        <f>SUMIFS('Plan rashoda za unos u SAP'!$I$3:$I$501,'Plan rashoda za unos u SAP'!$C$3:$C$501,"=576",'Plan rashoda za unos u SAP'!$M$3:$M$501,"=383")+SUMIFS('ANALITIKA EU PROJEKATA'!$G$3:$G$501,'ANALITIKA EU PROJEKATA'!$A$3:$A$501,"=576",'ANALITIKA EU PROJEKATA'!$P$3:$P$501,"=383")</f>
        <v>0</v>
      </c>
      <c r="S36" s="140">
        <f>SUMIFS('Plan rashoda za unos u SAP'!$I$3:$I$501,'Plan rashoda za unos u SAP'!$C$3:$C$501,"=61",'Plan rashoda za unos u SAP'!$M$3:$M$501,"=383")+SUMIFS('ANALITIKA EU PROJEKATA'!$G$3:$G$501,'ANALITIKA EU PROJEKATA'!$A$3:$A$501,"=61",'ANALITIKA EU PROJEKATA'!$P$3:$P$501,"=383")</f>
        <v>0</v>
      </c>
      <c r="T36" s="140">
        <f>SUMIFS('Plan rashoda za unos u SAP'!$I$3:$I$501,'Plan rashoda za unos u SAP'!$C$3:$C$501,"=63",'Plan rashoda za unos u SAP'!$M$3:$M$501,"=383")+SUMIFS('ANALITIKA EU PROJEKATA'!$G$3:$G$501,'ANALITIKA EU PROJEKATA'!$A$3:$A$501,"=63",'ANALITIKA EU PROJEKATA'!$P$3:$P$501,"=383")</f>
        <v>0</v>
      </c>
      <c r="U36" s="140">
        <f>SUMIFS('Plan rashoda za unos u SAP'!$I$3:$I$501,'Plan rashoda za unos u SAP'!$C$3:$C$501,"=71",'Plan rashoda za unos u SAP'!$M$3:$M$501,"=383")+SUMIFS('ANALITIKA EU PROJEKATA'!$G$3:$G$501,'ANALITIKA EU PROJEKATA'!$A$3:$A$501,"=71",'ANALITIKA EU PROJEKATA'!$P$3:$P$501,"=383")</f>
        <v>0</v>
      </c>
      <c r="V36" s="140">
        <f>SUMIFS('Plan rashoda za unos u SAP'!$I$3:$I$501,'Plan rashoda za unos u SAP'!$C$3:$C$501,"=81",'Plan rashoda za unos u SAP'!$M$3:$M$501,"=383")+SUMIFS('ANALITIKA EU PROJEKATA'!$G$3:$G$501,'ANALITIKA EU PROJEKATA'!$A$3:$A$501,"=81",'ANALITIKA EU PROJEKATA'!$P$3:$P$501,"=383")</f>
        <v>0</v>
      </c>
      <c r="W36" s="140">
        <f>SUMIFS('Plan rashoda za unos u SAP'!$I$3:$I$501,'Plan rashoda za unos u SAP'!$C$3:$C$501,"=83",'Plan rashoda za unos u SAP'!$M$3:$M$501,"=383")+SUMIFS('ANALITIKA EU PROJEKATA'!$G$3:$G$501,'ANALITIKA EU PROJEKATA'!$A$3:$A$501,"=83",'ANALITIKA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339</v>
      </c>
      <c r="D37" s="14">
        <f t="shared" si="1"/>
        <v>0</v>
      </c>
      <c r="E37" s="140">
        <f>SUMIFS('Plan rashoda za unos u SAP'!$I$3:$I$501,'Plan rashoda za unos u SAP'!$C$3:$C$501,"=11",'Plan rashoda za unos u SAP'!$M$3:$M$501,"=386")+SUMIFS('ANALITIKA EU PROJEKATA'!$G$3:$G$501,'ANALITIKA EU PROJEKATA'!$A$3:$A$501,"=11",'ANALITIKA EU PROJEKATA'!$P$3:$P$501,"=386")</f>
        <v>0</v>
      </c>
      <c r="F37" s="140">
        <f>SUMIFS('Plan rashoda za unos u SAP'!$I$3:$I$501,'Plan rashoda za unos u SAP'!$C$3:$C$501,"=12",'Plan rashoda za unos u SAP'!$M$3:$M$501,"=386")+SUMIFS('ANALITIKA EU PROJEKATA'!$G$3:$G$501,'ANALITIKA EU PROJEKATA'!$A$3:$A$501,"=12",'ANALITIKA EU PROJEKATA'!$P$3:$P$501,"=386")</f>
        <v>0</v>
      </c>
      <c r="G37" s="140">
        <f>SUMIFS('Plan rashoda za unos u SAP'!$I$3:$I$501,'Plan rashoda za unos u SAP'!$C$3:$C$501,"=31",'Plan rashoda za unos u SAP'!$M$3:$M$501,"=386")+SUMIFS('ANALITIKA EU PROJEKATA'!$G$3:$G$501,'ANALITIKA EU PROJEKATA'!$A$3:$A$501,"=31",'ANALITIKA EU PROJEKATA'!$P$3:$P$501,"=386")</f>
        <v>0</v>
      </c>
      <c r="H37" s="140">
        <f>SUMIFS('Plan rashoda za unos u SAP'!$I$3:$I$501,'Plan rashoda za unos u SAP'!$C$3:$C$501,"=41",'Plan rashoda za unos u SAP'!$M$3:$M$501,"=386")+SUMIFS('ANALITIKA EU PROJEKATA'!$G$3:$G$501,'ANALITIKA EU PROJEKATA'!$A$3:$A$501,"=41",'ANALITIKA EU PROJEKATA'!$P$3:$P$501,"=386")</f>
        <v>0</v>
      </c>
      <c r="I37" s="140">
        <f>SUMIFS('Plan rashoda za unos u SAP'!$I$3:$I$501,'Plan rashoda za unos u SAP'!$C$3:$C$501,"=43",'Plan rashoda za unos u SAP'!$M$3:$M$501,"=386")+SUMIFS('ANALITIKA EU PROJEKATA'!$G$3:$G$501,'ANALITIKA EU PROJEKATA'!$A$3:$A$501,"=43",'ANALITIKA EU PROJEKATA'!$P$3:$P$501,"=386")</f>
        <v>0</v>
      </c>
      <c r="J37" s="140">
        <f>SUMIFS('Plan rashoda za unos u SAP'!$I$3:$I$501,'Plan rashoda za unos u SAP'!$C$3:$C$501,"=51",'Plan rashoda za unos u SAP'!$M$3:$M$501,"=386")+SUMIFS('ANALITIKA EU PROJEKATA'!$G$3:$G$501,'ANALITIKA EU PROJEKATA'!$A$3:$A$501,"=51",'ANALITIKA EU PROJEKATA'!$P$3:$P$501,"=386")</f>
        <v>0</v>
      </c>
      <c r="K37" s="140">
        <f>SUMIFS('Plan rashoda za unos u SAP'!$I$3:$I$501,'Plan rashoda za unos u SAP'!$C$3:$C$501,"=52",'Plan rashoda za unos u SAP'!$M$3:$M$501,"=386")+SUMIFS('ANALITIKA EU PROJEKATA'!$G$3:$G$501,'ANALITIKA EU PROJEKATA'!$A$3:$A$501,"=52",'ANALITIKA EU PROJEKATA'!$P$3:$P$501,"=386")</f>
        <v>0</v>
      </c>
      <c r="L37" s="140">
        <f>SUMIFS('Plan rashoda za unos u SAP'!$I$3:$I$501,'Plan rashoda za unos u SAP'!$C$3:$C$501,"=552",'Plan rashoda za unos u SAP'!$M$3:$M$501,"=386")+SUMIFS('ANALITIKA EU PROJEKATA'!$G$3:$G$501,'ANALITIKA EU PROJEKATA'!$A$3:$A$501,"=552",'ANALITIKA EU PROJEKATA'!$P$3:$P$501,"=386")</f>
        <v>0</v>
      </c>
      <c r="M37" s="140">
        <f>SUMIFS('Plan rashoda za unos u SAP'!$I$3:$I$501,'Plan rashoda za unos u SAP'!$C$3:$C$501,"=559",'Plan rashoda za unos u SAP'!$M$3:$M$501,"=386")+SUMIFS('ANALITIKA EU PROJEKATA'!$G$3:$G$501,'ANALITIKA EU PROJEKATA'!$A$3:$A$501,"=559",'ANALITIKA EU PROJEKATA'!$P$3:$P$501,"=386")</f>
        <v>0</v>
      </c>
      <c r="N37" s="140">
        <f>SUMIFS('Plan rashoda za unos u SAP'!$I$3:$I$501,'Plan rashoda za unos u SAP'!$C$3:$C$501,"=561",'Plan rashoda za unos u SAP'!$M$3:$M$501,"=386")+SUMIFS('ANALITIKA EU PROJEKATA'!$G$3:$G$501,'ANALITIKA EU PROJEKATA'!$A$3:$A$501,"=561",'ANALITIKA EU PROJEKATA'!$P$3:$P$501,"=386")</f>
        <v>0</v>
      </c>
      <c r="O37" s="140">
        <f>SUMIFS('Plan rashoda za unos u SAP'!$I$3:$I$501,'Plan rashoda za unos u SAP'!$C$3:$C$501,"=563",'Plan rashoda za unos u SAP'!$M$3:$M$501,"=386")+SUMIFS('ANALITIKA EU PROJEKATA'!$G$3:$G$501,'ANALITIKA EU PROJEKATA'!$A$3:$A$501,"=563",'ANALITIKA EU PROJEKATA'!$P$3:$P$501,"=386")</f>
        <v>0</v>
      </c>
      <c r="P37" s="140">
        <f>SUMIFS('Plan rashoda za unos u SAP'!$I$3:$I$501,'Plan rashoda za unos u SAP'!$C$3:$C$501,"=573",'Plan rashoda za unos u SAP'!$M$3:$M$501,"=386")+SUMIFS('ANALITIKA EU PROJEKATA'!$G$3:$G$501,'ANALITIKA EU PROJEKATA'!$A$3:$A$501,"=573",'ANALITIKA EU PROJEKATA'!$P$3:$P$501,"=386")</f>
        <v>0</v>
      </c>
      <c r="Q37" s="140">
        <f>SUMIFS('Plan rashoda za unos u SAP'!$I$3:$I$501,'Plan rashoda za unos u SAP'!$C$3:$C$501,"=575",'Plan rashoda za unos u SAP'!$M$3:$M$501,"=386")+SUMIFS('ANALITIKA EU PROJEKATA'!$G$3:$G$501,'ANALITIKA EU PROJEKATA'!$A$3:$A$501,"=575",'ANALITIKA EU PROJEKATA'!$P$3:$P$501,"=386")</f>
        <v>0</v>
      </c>
      <c r="R37" s="140">
        <f>SUMIFS('Plan rashoda za unos u SAP'!$I$3:$I$501,'Plan rashoda za unos u SAP'!$C$3:$C$501,"=576",'Plan rashoda za unos u SAP'!$M$3:$M$501,"=386")+SUMIFS('ANALITIKA EU PROJEKATA'!$G$3:$G$501,'ANALITIKA EU PROJEKATA'!$A$3:$A$501,"=576",'ANALITIKA EU PROJEKATA'!$P$3:$P$501,"=386")</f>
        <v>0</v>
      </c>
      <c r="S37" s="140">
        <f>SUMIFS('Plan rashoda za unos u SAP'!$I$3:$I$501,'Plan rashoda za unos u SAP'!$C$3:$C$501,"=61",'Plan rashoda za unos u SAP'!$M$3:$M$501,"=386")+SUMIFS('ANALITIKA EU PROJEKATA'!$G$3:$G$501,'ANALITIKA EU PROJEKATA'!$A$3:$A$501,"=61",'ANALITIKA EU PROJEKATA'!$P$3:$P$501,"=386")</f>
        <v>0</v>
      </c>
      <c r="T37" s="140">
        <f>SUMIFS('Plan rashoda za unos u SAP'!$I$3:$I$501,'Plan rashoda za unos u SAP'!$C$3:$C$501,"=63",'Plan rashoda za unos u SAP'!$M$3:$M$501,"=386")+SUMIFS('ANALITIKA EU PROJEKATA'!$G$3:$G$501,'ANALITIKA EU PROJEKATA'!$A$3:$A$501,"=63",'ANALITIKA EU PROJEKATA'!$P$3:$P$501,"=386")</f>
        <v>0</v>
      </c>
      <c r="U37" s="140">
        <f>SUMIFS('Plan rashoda za unos u SAP'!$I$3:$I$501,'Plan rashoda za unos u SAP'!$C$3:$C$501,"=71",'Plan rashoda za unos u SAP'!$M$3:$M$501,"=386")+SUMIFS('ANALITIKA EU PROJEKATA'!$G$3:$G$501,'ANALITIKA EU PROJEKATA'!$A$3:$A$501,"=71",'ANALITIKA EU PROJEKATA'!$P$3:$P$501,"=386")</f>
        <v>0</v>
      </c>
      <c r="V37" s="140">
        <f>SUMIFS('Plan rashoda za unos u SAP'!$I$3:$I$501,'Plan rashoda za unos u SAP'!$C$3:$C$501,"=81",'Plan rashoda za unos u SAP'!$M$3:$M$501,"=386")+SUMIFS('ANALITIKA EU PROJEKATA'!$G$3:$G$501,'ANALITIKA EU PROJEKATA'!$A$3:$A$501,"=81",'ANALITIKA EU PROJEKATA'!$P$3:$P$501,"=386")</f>
        <v>0</v>
      </c>
      <c r="W37" s="140">
        <f>SUMIFS('Plan rashoda za unos u SAP'!$I$3:$I$501,'Plan rashoda za unos u SAP'!$C$3:$C$501,"=83",'Plan rashoda za unos u SAP'!$M$3:$M$501,"=386")+SUMIFS('ANALITIKA EU PROJEKATA'!$G$3:$G$501,'ANALITIKA EU PROJEKATA'!$A$3:$A$501,"=83",'ANALITIKA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216</v>
      </c>
      <c r="D38" s="126">
        <f t="shared" si="1"/>
        <v>3349574</v>
      </c>
      <c r="E38" s="126">
        <f>E42+E49+E51+E53+E39</f>
        <v>1606928</v>
      </c>
      <c r="F38" s="126">
        <f t="shared" ref="F38:W38" si="10">F42+F49+F51+F53+F39</f>
        <v>0</v>
      </c>
      <c r="G38" s="126">
        <f t="shared" si="10"/>
        <v>375000</v>
      </c>
      <c r="H38" s="126">
        <f>H42+H49+H51+H53+H39</f>
        <v>0</v>
      </c>
      <c r="I38" s="126">
        <f t="shared" si="10"/>
        <v>1120000</v>
      </c>
      <c r="J38" s="126">
        <f t="shared" si="10"/>
        <v>147646</v>
      </c>
      <c r="K38" s="126">
        <f t="shared" si="10"/>
        <v>100000</v>
      </c>
      <c r="L38" s="126">
        <f>L42+L49+L51+L53+L39</f>
        <v>0</v>
      </c>
      <c r="M38" s="126">
        <f t="shared" si="10"/>
        <v>0</v>
      </c>
      <c r="N38" s="126">
        <f t="shared" si="10"/>
        <v>0</v>
      </c>
      <c r="O38" s="126">
        <f t="shared" si="10"/>
        <v>0</v>
      </c>
      <c r="P38" s="126">
        <f>P42+P49+P51+P53+P39</f>
        <v>0</v>
      </c>
      <c r="Q38" s="126">
        <f>Q42+Q49+Q51+Q53+Q39</f>
        <v>0</v>
      </c>
      <c r="R38" s="126">
        <f>R42+R49+R51+R53+R39</f>
        <v>0</v>
      </c>
      <c r="S38" s="126">
        <f t="shared" si="10"/>
        <v>0</v>
      </c>
      <c r="T38" s="126">
        <f t="shared" si="10"/>
        <v>0</v>
      </c>
      <c r="U38" s="126">
        <f t="shared" si="10"/>
        <v>0</v>
      </c>
      <c r="V38" s="126">
        <f t="shared" si="10"/>
        <v>0</v>
      </c>
      <c r="W38" s="126">
        <f t="shared" si="10"/>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340</v>
      </c>
      <c r="D39" s="4">
        <f t="shared" si="1"/>
        <v>0</v>
      </c>
      <c r="E39" s="12">
        <f t="shared" ref="E39:W39" si="11">SUM(E40:E41)</f>
        <v>0</v>
      </c>
      <c r="F39" s="12">
        <f t="shared" si="11"/>
        <v>0</v>
      </c>
      <c r="G39" s="12">
        <f t="shared" si="11"/>
        <v>0</v>
      </c>
      <c r="H39" s="12">
        <f>SUM(H40:H41)</f>
        <v>0</v>
      </c>
      <c r="I39" s="12">
        <f t="shared" si="11"/>
        <v>0</v>
      </c>
      <c r="J39" s="12">
        <f t="shared" si="11"/>
        <v>0</v>
      </c>
      <c r="K39" s="12">
        <f t="shared" si="11"/>
        <v>0</v>
      </c>
      <c r="L39" s="12">
        <f>SUM(L40:L41)</f>
        <v>0</v>
      </c>
      <c r="M39" s="12">
        <f t="shared" si="11"/>
        <v>0</v>
      </c>
      <c r="N39" s="12">
        <f t="shared" si="11"/>
        <v>0</v>
      </c>
      <c r="O39" s="12">
        <f t="shared" si="11"/>
        <v>0</v>
      </c>
      <c r="P39" s="12">
        <f>SUM(P40:P41)</f>
        <v>0</v>
      </c>
      <c r="Q39" s="12">
        <f>SUM(Q40:Q41)</f>
        <v>0</v>
      </c>
      <c r="R39" s="12">
        <f>SUM(R40:R41)</f>
        <v>0</v>
      </c>
      <c r="S39" s="12">
        <f t="shared" si="11"/>
        <v>0</v>
      </c>
      <c r="T39" s="12">
        <f t="shared" si="11"/>
        <v>0</v>
      </c>
      <c r="U39" s="12">
        <f t="shared" si="11"/>
        <v>0</v>
      </c>
      <c r="V39" s="12">
        <f t="shared" si="11"/>
        <v>0</v>
      </c>
      <c r="W39" s="12">
        <f t="shared" si="11"/>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341</v>
      </c>
      <c r="D40" s="14">
        <f t="shared" si="1"/>
        <v>0</v>
      </c>
      <c r="E40" s="140">
        <f>SUMIFS('Plan rashoda za unos u SAP'!$I$3:$I$501,'Plan rashoda za unos u SAP'!$C$3:$C$501,"=11",'Plan rashoda za unos u SAP'!$M$3:$M$501,"=411")+SUMIFS('ANALITIKA EU PROJEKATA'!$G$3:$G$501,'ANALITIKA EU PROJEKATA'!$A$3:$A$501,"=11",'ANALITIKA EU PROJEKATA'!$P$3:$P$501,"=411")</f>
        <v>0</v>
      </c>
      <c r="F40" s="140">
        <f>SUMIFS('Plan rashoda za unos u SAP'!$I$3:$I$501,'Plan rashoda za unos u SAP'!$C$3:$C$501,"=12",'Plan rashoda za unos u SAP'!$M$3:$M$501,"=411")+SUMIFS('ANALITIKA EU PROJEKATA'!$G$3:$G$501,'ANALITIKA EU PROJEKATA'!$A$3:$A$501,"=12",'ANALITIKA EU PROJEKATA'!$P$3:$P$501,"=411")</f>
        <v>0</v>
      </c>
      <c r="G40" s="140">
        <f>SUMIFS('Plan rashoda za unos u SAP'!$I$3:$I$501,'Plan rashoda za unos u SAP'!$C$3:$C$501,"=31",'Plan rashoda za unos u SAP'!$M$3:$M$501,"=411")+SUMIFS('ANALITIKA EU PROJEKATA'!$G$3:$G$501,'ANALITIKA EU PROJEKATA'!$A$3:$A$501,"=31",'ANALITIKA EU PROJEKATA'!$P$3:$P$501,"=411")</f>
        <v>0</v>
      </c>
      <c r="H40" s="140">
        <f>SUMIFS('Plan rashoda za unos u SAP'!$I$3:$I$501,'Plan rashoda za unos u SAP'!$C$3:$C$501,"=41",'Plan rashoda za unos u SAP'!$M$3:$M$501,"=411")+SUMIFS('ANALITIKA EU PROJEKATA'!$G$3:$G$501,'ANALITIKA EU PROJEKATA'!$A$3:$A$501,"=41",'ANALITIKA EU PROJEKATA'!$P$3:$P$501,"=411")</f>
        <v>0</v>
      </c>
      <c r="I40" s="140">
        <f>SUMIFS('Plan rashoda za unos u SAP'!$I$3:$I$501,'Plan rashoda za unos u SAP'!$C$3:$C$501,"=43",'Plan rashoda za unos u SAP'!$M$3:$M$501,"=411")+SUMIFS('ANALITIKA EU PROJEKATA'!$G$3:$G$501,'ANALITIKA EU PROJEKATA'!$A$3:$A$501,"=43",'ANALITIKA EU PROJEKATA'!$P$3:$P$501,"=411")</f>
        <v>0</v>
      </c>
      <c r="J40" s="140">
        <f>SUMIFS('Plan rashoda za unos u SAP'!$I$3:$I$501,'Plan rashoda za unos u SAP'!$C$3:$C$501,"=51",'Plan rashoda za unos u SAP'!$M$3:$M$501,"=411")+SUMIFS('ANALITIKA EU PROJEKATA'!$G$3:$G$501,'ANALITIKA EU PROJEKATA'!$A$3:$A$501,"=51",'ANALITIKA EU PROJEKATA'!$P$3:$P$501,"=411")</f>
        <v>0</v>
      </c>
      <c r="K40" s="140">
        <f>SUMIFS('Plan rashoda za unos u SAP'!$I$3:$I$501,'Plan rashoda za unos u SAP'!$C$3:$C$501,"=52",'Plan rashoda za unos u SAP'!$M$3:$M$501,"=411")+SUMIFS('ANALITIKA EU PROJEKATA'!$G$3:$G$501,'ANALITIKA EU PROJEKATA'!$A$3:$A$501,"=52",'ANALITIKA EU PROJEKATA'!$P$3:$P$501,"=411")</f>
        <v>0</v>
      </c>
      <c r="L40" s="140">
        <f>SUMIFS('Plan rashoda za unos u SAP'!$I$3:$I$501,'Plan rashoda za unos u SAP'!$C$3:$C$501,"=552",'Plan rashoda za unos u SAP'!$M$3:$M$501,"=411")+SUMIFS('ANALITIKA EU PROJEKATA'!$G$3:$G$501,'ANALITIKA EU PROJEKATA'!$A$3:$A$501,"=552",'ANALITIKA EU PROJEKATA'!$P$3:$P$501,"=411")</f>
        <v>0</v>
      </c>
      <c r="M40" s="140">
        <f>SUMIFS('Plan rashoda za unos u SAP'!$I$3:$I$501,'Plan rashoda za unos u SAP'!$C$3:$C$501,"=559",'Plan rashoda za unos u SAP'!$M$3:$M$501,"=411")+SUMIFS('ANALITIKA EU PROJEKATA'!$G$3:$G$501,'ANALITIKA EU PROJEKATA'!$A$3:$A$501,"=559",'ANALITIKA EU PROJEKATA'!$P$3:$P$501,"=411")</f>
        <v>0</v>
      </c>
      <c r="N40" s="140">
        <f>SUMIFS('Plan rashoda za unos u SAP'!$I$3:$I$501,'Plan rashoda za unos u SAP'!$C$3:$C$501,"=561",'Plan rashoda za unos u SAP'!$M$3:$M$501,"=411")+SUMIFS('ANALITIKA EU PROJEKATA'!$G$3:$G$501,'ANALITIKA EU PROJEKATA'!$A$3:$A$501,"=561",'ANALITIKA EU PROJEKATA'!$P$3:$P$501,"=411")</f>
        <v>0</v>
      </c>
      <c r="O40" s="140">
        <f>SUMIFS('Plan rashoda za unos u SAP'!$I$3:$I$501,'Plan rashoda za unos u SAP'!$C$3:$C$501,"=563",'Plan rashoda za unos u SAP'!$M$3:$M$501,"=411")+SUMIFS('ANALITIKA EU PROJEKATA'!$G$3:$G$501,'ANALITIKA EU PROJEKATA'!$A$3:$A$501,"=563",'ANALITIKA EU PROJEKATA'!$P$3:$P$501,"=411")</f>
        <v>0</v>
      </c>
      <c r="P40" s="140">
        <f>SUMIFS('Plan rashoda za unos u SAP'!$I$3:$I$501,'Plan rashoda za unos u SAP'!$C$3:$C$501,"=573",'Plan rashoda za unos u SAP'!$M$3:$M$501,"=411")+SUMIFS('ANALITIKA EU PROJEKATA'!$G$3:$G$501,'ANALITIKA EU PROJEKATA'!$A$3:$A$501,"=573",'ANALITIKA EU PROJEKATA'!$P$3:$P$501,"=411")</f>
        <v>0</v>
      </c>
      <c r="Q40" s="140">
        <f>SUMIFS('Plan rashoda za unos u SAP'!$I$3:$I$501,'Plan rashoda za unos u SAP'!$C$3:$C$501,"=575",'Plan rashoda za unos u SAP'!$M$3:$M$501,"=411")+SUMIFS('ANALITIKA EU PROJEKATA'!$G$3:$G$501,'ANALITIKA EU PROJEKATA'!$A$3:$A$501,"=575",'ANALITIKA EU PROJEKATA'!$P$3:$P$501,"=411")</f>
        <v>0</v>
      </c>
      <c r="R40" s="140">
        <f>SUMIFS('Plan rashoda za unos u SAP'!$I$3:$I$501,'Plan rashoda za unos u SAP'!$C$3:$C$501,"=576",'Plan rashoda za unos u SAP'!$M$3:$M$501,"=411")+SUMIFS('ANALITIKA EU PROJEKATA'!$G$3:$G$501,'ANALITIKA EU PROJEKATA'!$A$3:$A$501,"=576",'ANALITIKA EU PROJEKATA'!$P$3:$P$501,"=411")</f>
        <v>0</v>
      </c>
      <c r="S40" s="140">
        <f>SUMIFS('Plan rashoda za unos u SAP'!$I$3:$I$501,'Plan rashoda za unos u SAP'!$C$3:$C$501,"=61",'Plan rashoda za unos u SAP'!$M$3:$M$501,"=411")+SUMIFS('ANALITIKA EU PROJEKATA'!$G$3:$G$501,'ANALITIKA EU PROJEKATA'!$A$3:$A$501,"=61",'ANALITIKA EU PROJEKATA'!$P$3:$P$501,"=411")</f>
        <v>0</v>
      </c>
      <c r="T40" s="140">
        <f>SUMIFS('Plan rashoda za unos u SAP'!$I$3:$I$501,'Plan rashoda za unos u SAP'!$C$3:$C$501,"=63",'Plan rashoda za unos u SAP'!$M$3:$M$501,"=411")+SUMIFS('ANALITIKA EU PROJEKATA'!$G$3:$G$501,'ANALITIKA EU PROJEKATA'!$A$3:$A$501,"=63",'ANALITIKA EU PROJEKATA'!$P$3:$P$501,"=411")</f>
        <v>0</v>
      </c>
      <c r="U40" s="140">
        <f>SUMIFS('Plan rashoda za unos u SAP'!$I$3:$I$501,'Plan rashoda za unos u SAP'!$C$3:$C$501,"=71",'Plan rashoda za unos u SAP'!$M$3:$M$501,"=411")+SUMIFS('ANALITIKA EU PROJEKATA'!$G$3:$G$501,'ANALITIKA EU PROJEKATA'!$A$3:$A$501,"=71",'ANALITIKA EU PROJEKATA'!$P$3:$P$501,"=411")</f>
        <v>0</v>
      </c>
      <c r="V40" s="140">
        <f>SUMIFS('Plan rashoda za unos u SAP'!$I$3:$I$501,'Plan rashoda za unos u SAP'!$C$3:$C$501,"=81",'Plan rashoda za unos u SAP'!$M$3:$M$501,"=411")+SUMIFS('ANALITIKA EU PROJEKATA'!$G$3:$G$501,'ANALITIKA EU PROJEKATA'!$A$3:$A$501,"=81",'ANALITIKA EU PROJEKATA'!$P$3:$P$501,"=411")</f>
        <v>0</v>
      </c>
      <c r="W40" s="140">
        <f>SUMIFS('Plan rashoda za unos u SAP'!$I$3:$I$501,'Plan rashoda za unos u SAP'!$C$3:$C$501,"=83",'Plan rashoda za unos u SAP'!$M$3:$M$501,"=411")+SUMIFS('ANALITIKA EU PROJEKATA'!$G$3:$G$501,'ANALITIKA EU PROJEKATA'!$A$3:$A$501,"=83",'ANALITIKA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342</v>
      </c>
      <c r="D41" s="14">
        <f t="shared" si="1"/>
        <v>0</v>
      </c>
      <c r="E41" s="140">
        <f>SUMIFS('Plan rashoda za unos u SAP'!$I$3:$I$501,'Plan rashoda za unos u SAP'!$C$3:$C$501,"=11",'Plan rashoda za unos u SAP'!$M$3:$M$501,"=412")+SUMIFS('ANALITIKA EU PROJEKATA'!$G$3:$G$501,'ANALITIKA EU PROJEKATA'!$A$3:$A$501,"=11",'ANALITIKA EU PROJEKATA'!$P$3:$P$501,"=412")</f>
        <v>0</v>
      </c>
      <c r="F41" s="140">
        <f>SUMIFS('Plan rashoda za unos u SAP'!$I$3:$I$501,'Plan rashoda za unos u SAP'!$C$3:$C$501,"=12",'Plan rashoda za unos u SAP'!$M$3:$M$501,"=412")+SUMIFS('ANALITIKA EU PROJEKATA'!$G$3:$G$501,'ANALITIKA EU PROJEKATA'!$A$3:$A$501,"=12",'ANALITIKA EU PROJEKATA'!$P$3:$P$501,"=412")</f>
        <v>0</v>
      </c>
      <c r="G41" s="140">
        <f>SUMIFS('Plan rashoda za unos u SAP'!$I$3:$I$501,'Plan rashoda za unos u SAP'!$C$3:$C$501,"=31",'Plan rashoda za unos u SAP'!$M$3:$M$501,"=412")+SUMIFS('ANALITIKA EU PROJEKATA'!$G$3:$G$501,'ANALITIKA EU PROJEKATA'!$A$3:$A$501,"=31",'ANALITIKA EU PROJEKATA'!$P$3:$P$501,"=412")</f>
        <v>0</v>
      </c>
      <c r="H41" s="140">
        <f>SUMIFS('Plan rashoda za unos u SAP'!$I$3:$I$501,'Plan rashoda za unos u SAP'!$C$3:$C$501,"=41",'Plan rashoda za unos u SAP'!$M$3:$M$501,"=412")+SUMIFS('ANALITIKA EU PROJEKATA'!$G$3:$G$501,'ANALITIKA EU PROJEKATA'!$A$3:$A$501,"=41",'ANALITIKA EU PROJEKATA'!$P$3:$P$501,"=412")</f>
        <v>0</v>
      </c>
      <c r="I41" s="140">
        <f>SUMIFS('Plan rashoda za unos u SAP'!$I$3:$I$501,'Plan rashoda za unos u SAP'!$C$3:$C$501,"=43",'Plan rashoda za unos u SAP'!$M$3:$M$501,"=412")+SUMIFS('ANALITIKA EU PROJEKATA'!$G$3:$G$501,'ANALITIKA EU PROJEKATA'!$A$3:$A$501,"=43",'ANALITIKA EU PROJEKATA'!$P$3:$P$501,"=412")</f>
        <v>0</v>
      </c>
      <c r="J41" s="140">
        <f>SUMIFS('Plan rashoda za unos u SAP'!$I$3:$I$501,'Plan rashoda za unos u SAP'!$C$3:$C$501,"=51",'Plan rashoda za unos u SAP'!$M$3:$M$501,"=412")+SUMIFS('ANALITIKA EU PROJEKATA'!$G$3:$G$501,'ANALITIKA EU PROJEKATA'!$A$3:$A$501,"=51",'ANALITIKA EU PROJEKATA'!$P$3:$P$501,"=412")</f>
        <v>0</v>
      </c>
      <c r="K41" s="140">
        <f>SUMIFS('Plan rashoda za unos u SAP'!$I$3:$I$501,'Plan rashoda za unos u SAP'!$C$3:$C$501,"=52",'Plan rashoda za unos u SAP'!$M$3:$M$501,"=412")+SUMIFS('ANALITIKA EU PROJEKATA'!$G$3:$G$501,'ANALITIKA EU PROJEKATA'!$A$3:$A$501,"=52",'ANALITIKA EU PROJEKATA'!$P$3:$P$501,"=412")</f>
        <v>0</v>
      </c>
      <c r="L41" s="140">
        <f>SUMIFS('Plan rashoda za unos u SAP'!$I$3:$I$501,'Plan rashoda za unos u SAP'!$C$3:$C$501,"=552",'Plan rashoda za unos u SAP'!$M$3:$M$501,"=412")+SUMIFS('ANALITIKA EU PROJEKATA'!$G$3:$G$501,'ANALITIKA EU PROJEKATA'!$A$3:$A$501,"=552",'ANALITIKA EU PROJEKATA'!$P$3:$P$501,"=412")</f>
        <v>0</v>
      </c>
      <c r="M41" s="140">
        <f>SUMIFS('Plan rashoda za unos u SAP'!$I$3:$I$501,'Plan rashoda za unos u SAP'!$C$3:$C$501,"=559",'Plan rashoda za unos u SAP'!$M$3:$M$501,"=412")+SUMIFS('ANALITIKA EU PROJEKATA'!$G$3:$G$501,'ANALITIKA EU PROJEKATA'!$A$3:$A$501,"=559",'ANALITIKA EU PROJEKATA'!$P$3:$P$501,"=412")</f>
        <v>0</v>
      </c>
      <c r="N41" s="140">
        <f>SUMIFS('Plan rashoda za unos u SAP'!$I$3:$I$501,'Plan rashoda za unos u SAP'!$C$3:$C$501,"=561",'Plan rashoda za unos u SAP'!$M$3:$M$501,"=412")+SUMIFS('ANALITIKA EU PROJEKATA'!$G$3:$G$501,'ANALITIKA EU PROJEKATA'!$A$3:$A$501,"=561",'ANALITIKA EU PROJEKATA'!$P$3:$P$501,"=412")</f>
        <v>0</v>
      </c>
      <c r="O41" s="140">
        <f>SUMIFS('Plan rashoda za unos u SAP'!$I$3:$I$501,'Plan rashoda za unos u SAP'!$C$3:$C$501,"=563",'Plan rashoda za unos u SAP'!$M$3:$M$501,"=412")+SUMIFS('ANALITIKA EU PROJEKATA'!$G$3:$G$501,'ANALITIKA EU PROJEKATA'!$A$3:$A$501,"=563",'ANALITIKA EU PROJEKATA'!$P$3:$P$501,"=412")</f>
        <v>0</v>
      </c>
      <c r="P41" s="140">
        <f>SUMIFS('Plan rashoda za unos u SAP'!$I$3:$I$501,'Plan rashoda za unos u SAP'!$C$3:$C$501,"=573",'Plan rashoda za unos u SAP'!$M$3:$M$501,"=412")+SUMIFS('ANALITIKA EU PROJEKATA'!$G$3:$G$501,'ANALITIKA EU PROJEKATA'!$A$3:$A$501,"=573",'ANALITIKA EU PROJEKATA'!$P$3:$P$501,"=412")</f>
        <v>0</v>
      </c>
      <c r="Q41" s="140">
        <f>SUMIFS('Plan rashoda za unos u SAP'!$I$3:$I$501,'Plan rashoda za unos u SAP'!$C$3:$C$501,"=575",'Plan rashoda za unos u SAP'!$M$3:$M$501,"=412")+SUMIFS('ANALITIKA EU PROJEKATA'!$G$3:$G$501,'ANALITIKA EU PROJEKATA'!$A$3:$A$501,"=575",'ANALITIKA EU PROJEKATA'!$P$3:$P$501,"=412")</f>
        <v>0</v>
      </c>
      <c r="R41" s="140">
        <f>SUMIFS('Plan rashoda za unos u SAP'!$I$3:$I$501,'Plan rashoda za unos u SAP'!$C$3:$C$501,"=576",'Plan rashoda za unos u SAP'!$M$3:$M$501,"=412")+SUMIFS('ANALITIKA EU PROJEKATA'!$G$3:$G$501,'ANALITIKA EU PROJEKATA'!$A$3:$A$501,"=576",'ANALITIKA EU PROJEKATA'!$P$3:$P$501,"=412")</f>
        <v>0</v>
      </c>
      <c r="S41" s="140">
        <f>SUMIFS('Plan rashoda za unos u SAP'!$I$3:$I$501,'Plan rashoda za unos u SAP'!$C$3:$C$501,"=61",'Plan rashoda za unos u SAP'!$M$3:$M$501,"=412")+SUMIFS('ANALITIKA EU PROJEKATA'!$G$3:$G$501,'ANALITIKA EU PROJEKATA'!$A$3:$A$501,"=61",'ANALITIKA EU PROJEKATA'!$P$3:$P$501,"=412")</f>
        <v>0</v>
      </c>
      <c r="T41" s="140">
        <f>SUMIFS('Plan rashoda za unos u SAP'!$I$3:$I$501,'Plan rashoda za unos u SAP'!$C$3:$C$501,"=63",'Plan rashoda za unos u SAP'!$M$3:$M$501,"=412")+SUMIFS('ANALITIKA EU PROJEKATA'!$G$3:$G$501,'ANALITIKA EU PROJEKATA'!$A$3:$A$501,"=63",'ANALITIKA EU PROJEKATA'!$P$3:$P$501,"=412")</f>
        <v>0</v>
      </c>
      <c r="U41" s="140">
        <f>SUMIFS('Plan rashoda za unos u SAP'!$I$3:$I$501,'Plan rashoda za unos u SAP'!$C$3:$C$501,"=71",'Plan rashoda za unos u SAP'!$M$3:$M$501,"=412")+SUMIFS('ANALITIKA EU PROJEKATA'!$G$3:$G$501,'ANALITIKA EU PROJEKATA'!$A$3:$A$501,"=71",'ANALITIKA EU PROJEKATA'!$P$3:$P$501,"=412")</f>
        <v>0</v>
      </c>
      <c r="V41" s="140">
        <f>SUMIFS('Plan rashoda za unos u SAP'!$I$3:$I$501,'Plan rashoda za unos u SAP'!$C$3:$C$501,"=81",'Plan rashoda za unos u SAP'!$M$3:$M$501,"=412")+SUMIFS('ANALITIKA EU PROJEKATA'!$G$3:$G$501,'ANALITIKA EU PROJEKATA'!$A$3:$A$501,"=81",'ANALITIKA EU PROJEKATA'!$P$3:$P$501,"=412")</f>
        <v>0</v>
      </c>
      <c r="W41" s="140">
        <f>SUMIFS('Plan rashoda za unos u SAP'!$I$3:$I$501,'Plan rashoda za unos u SAP'!$C$3:$C$501,"=83",'Plan rashoda za unos u SAP'!$M$3:$M$501,"=412")+SUMIFS('ANALITIKA EU PROJEKATA'!$G$3:$G$501,'ANALITIKA EU PROJEKATA'!$A$3:$A$501,"=83",'ANALITIKA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261</v>
      </c>
      <c r="D42" s="4">
        <f t="shared" si="1"/>
        <v>3349574</v>
      </c>
      <c r="E42" s="4">
        <f t="shared" ref="E42:W42" si="12">SUM(E43:E48)</f>
        <v>1606928</v>
      </c>
      <c r="F42" s="4">
        <f t="shared" si="12"/>
        <v>0</v>
      </c>
      <c r="G42" s="4">
        <f t="shared" si="12"/>
        <v>375000</v>
      </c>
      <c r="H42" s="4">
        <f>SUM(H43:H48)</f>
        <v>0</v>
      </c>
      <c r="I42" s="4">
        <f t="shared" si="12"/>
        <v>1120000</v>
      </c>
      <c r="J42" s="4">
        <f t="shared" si="12"/>
        <v>147646</v>
      </c>
      <c r="K42" s="4">
        <f t="shared" si="12"/>
        <v>100000</v>
      </c>
      <c r="L42" s="4">
        <f>SUM(L43:L48)</f>
        <v>0</v>
      </c>
      <c r="M42" s="4">
        <f t="shared" si="12"/>
        <v>0</v>
      </c>
      <c r="N42" s="4">
        <f t="shared" si="12"/>
        <v>0</v>
      </c>
      <c r="O42" s="4">
        <f t="shared" si="12"/>
        <v>0</v>
      </c>
      <c r="P42" s="4">
        <f>SUM(P43:P48)</f>
        <v>0</v>
      </c>
      <c r="Q42" s="4">
        <f>SUM(Q43:Q48)</f>
        <v>0</v>
      </c>
      <c r="R42" s="4">
        <f>SUM(R43:R48)</f>
        <v>0</v>
      </c>
      <c r="S42" s="4">
        <f t="shared" si="12"/>
        <v>0</v>
      </c>
      <c r="T42" s="4">
        <f t="shared" si="12"/>
        <v>0</v>
      </c>
      <c r="U42" s="4">
        <f t="shared" si="12"/>
        <v>0</v>
      </c>
      <c r="V42" s="4">
        <f t="shared" si="12"/>
        <v>0</v>
      </c>
      <c r="W42" s="4">
        <f t="shared" si="12"/>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217</v>
      </c>
      <c r="D43" s="14">
        <f t="shared" si="1"/>
        <v>0</v>
      </c>
      <c r="E43" s="140">
        <f>SUMIFS('Plan rashoda za unos u SAP'!$I$3:$I$501,'Plan rashoda za unos u SAP'!$C$3:$C$501,"=11",'Plan rashoda za unos u SAP'!$M$3:$M$501,"=421")+SUMIFS('ANALITIKA EU PROJEKATA'!$G$3:$G$501,'ANALITIKA EU PROJEKATA'!$A$3:$A$501,"=11",'ANALITIKA EU PROJEKATA'!$P$3:$P$501,"=421")</f>
        <v>0</v>
      </c>
      <c r="F43" s="140">
        <f>SUMIFS('Plan rashoda za unos u SAP'!$I$3:$I$501,'Plan rashoda za unos u SAP'!$C$3:$C$501,"=12",'Plan rashoda za unos u SAP'!$M$3:$M$501,"=421")+SUMIFS('ANALITIKA EU PROJEKATA'!$G$3:$G$501,'ANALITIKA EU PROJEKATA'!$A$3:$A$501,"=12",'ANALITIKA EU PROJEKATA'!$P$3:$P$501,"=421")</f>
        <v>0</v>
      </c>
      <c r="G43" s="140">
        <f>SUMIFS('Plan rashoda za unos u SAP'!$I$3:$I$501,'Plan rashoda za unos u SAP'!$C$3:$C$501,"=31",'Plan rashoda za unos u SAP'!$M$3:$M$501,"=421")+SUMIFS('ANALITIKA EU PROJEKATA'!$G$3:$G$501,'ANALITIKA EU PROJEKATA'!$A$3:$A$501,"=31",'ANALITIKA EU PROJEKATA'!$P$3:$P$501,"=421")</f>
        <v>0</v>
      </c>
      <c r="H43" s="140">
        <f>SUMIFS('Plan rashoda za unos u SAP'!$I$3:$I$501,'Plan rashoda za unos u SAP'!$C$3:$C$501,"=41",'Plan rashoda za unos u SAP'!$M$3:$M$501,"=421")+SUMIFS('ANALITIKA EU PROJEKATA'!$G$3:$G$501,'ANALITIKA EU PROJEKATA'!$A$3:$A$501,"=41",'ANALITIKA EU PROJEKATA'!$P$3:$P$501,"=421")</f>
        <v>0</v>
      </c>
      <c r="I43" s="140">
        <f>SUMIFS('Plan rashoda za unos u SAP'!$I$3:$I$501,'Plan rashoda za unos u SAP'!$C$3:$C$501,"=43",'Plan rashoda za unos u SAP'!$M$3:$M$501,"=421")+SUMIFS('ANALITIKA EU PROJEKATA'!$G$3:$G$501,'ANALITIKA EU PROJEKATA'!$A$3:$A$501,"=43",'ANALITIKA EU PROJEKATA'!$P$3:$P$501,"=421")</f>
        <v>0</v>
      </c>
      <c r="J43" s="140">
        <f>SUMIFS('Plan rashoda za unos u SAP'!$I$3:$I$501,'Plan rashoda za unos u SAP'!$C$3:$C$501,"=51",'Plan rashoda za unos u SAP'!$M$3:$M$501,"=421")+SUMIFS('ANALITIKA EU PROJEKATA'!$G$3:$G$501,'ANALITIKA EU PROJEKATA'!$A$3:$A$501,"=51",'ANALITIKA EU PROJEKATA'!$P$3:$P$501,"=421")</f>
        <v>0</v>
      </c>
      <c r="K43" s="140">
        <f>SUMIFS('Plan rashoda za unos u SAP'!$I$3:$I$501,'Plan rashoda za unos u SAP'!$C$3:$C$501,"=52",'Plan rashoda za unos u SAP'!$M$3:$M$501,"=421")+SUMIFS('ANALITIKA EU PROJEKATA'!$G$3:$G$501,'ANALITIKA EU PROJEKATA'!$A$3:$A$501,"=52",'ANALITIKA EU PROJEKATA'!$P$3:$P$501,"=421")</f>
        <v>0</v>
      </c>
      <c r="L43" s="140">
        <f>SUMIFS('Plan rashoda za unos u SAP'!$I$3:$I$501,'Plan rashoda za unos u SAP'!$C$3:$C$501,"=552",'Plan rashoda za unos u SAP'!$M$3:$M$501,"=421")+SUMIFS('ANALITIKA EU PROJEKATA'!$G$3:$G$501,'ANALITIKA EU PROJEKATA'!$A$3:$A$501,"=552",'ANALITIKA EU PROJEKATA'!$P$3:$P$501,"=421")</f>
        <v>0</v>
      </c>
      <c r="M43" s="140">
        <f>SUMIFS('Plan rashoda za unos u SAP'!$I$3:$I$501,'Plan rashoda za unos u SAP'!$C$3:$C$501,"=559",'Plan rashoda za unos u SAP'!$M$3:$M$501,"=421")+SUMIFS('ANALITIKA EU PROJEKATA'!$G$3:$G$501,'ANALITIKA EU PROJEKATA'!$A$3:$A$501,"=559",'ANALITIKA EU PROJEKATA'!$P$3:$P$501,"=421")</f>
        <v>0</v>
      </c>
      <c r="N43" s="140">
        <f>SUMIFS('Plan rashoda za unos u SAP'!$I$3:$I$501,'Plan rashoda za unos u SAP'!$C$3:$C$501,"=561",'Plan rashoda za unos u SAP'!$M$3:$M$501,"=421")+SUMIFS('ANALITIKA EU PROJEKATA'!$G$3:$G$501,'ANALITIKA EU PROJEKATA'!$A$3:$A$501,"=561",'ANALITIKA EU PROJEKATA'!$P$3:$P$501,"=421")</f>
        <v>0</v>
      </c>
      <c r="O43" s="140">
        <f>SUMIFS('Plan rashoda za unos u SAP'!$I$3:$I$501,'Plan rashoda za unos u SAP'!$C$3:$C$501,"=563",'Plan rashoda za unos u SAP'!$M$3:$M$501,"=421")+SUMIFS('ANALITIKA EU PROJEKATA'!$G$3:$G$501,'ANALITIKA EU PROJEKATA'!$A$3:$A$501,"=563",'ANALITIKA EU PROJEKATA'!$P$3:$P$501,"=421")</f>
        <v>0</v>
      </c>
      <c r="P43" s="140">
        <f>SUMIFS('Plan rashoda za unos u SAP'!$I$3:$I$501,'Plan rashoda za unos u SAP'!$C$3:$C$501,"=573",'Plan rashoda za unos u SAP'!$M$3:$M$501,"=421")+SUMIFS('ANALITIKA EU PROJEKATA'!$G$3:$G$501,'ANALITIKA EU PROJEKATA'!$A$3:$A$501,"=573",'ANALITIKA EU PROJEKATA'!$P$3:$P$501,"=421")</f>
        <v>0</v>
      </c>
      <c r="Q43" s="140">
        <f>SUMIFS('Plan rashoda za unos u SAP'!$I$3:$I$501,'Plan rashoda za unos u SAP'!$C$3:$C$501,"=575",'Plan rashoda za unos u SAP'!$M$3:$M$501,"=421")+SUMIFS('ANALITIKA EU PROJEKATA'!$G$3:$G$501,'ANALITIKA EU PROJEKATA'!$A$3:$A$501,"=575",'ANALITIKA EU PROJEKATA'!$P$3:$P$501,"=421")</f>
        <v>0</v>
      </c>
      <c r="R43" s="140">
        <f>SUMIFS('Plan rashoda za unos u SAP'!$I$3:$I$501,'Plan rashoda za unos u SAP'!$C$3:$C$501,"=576",'Plan rashoda za unos u SAP'!$M$3:$M$501,"=421")+SUMIFS('ANALITIKA EU PROJEKATA'!$G$3:$G$501,'ANALITIKA EU PROJEKATA'!$A$3:$A$501,"=576",'ANALITIKA EU PROJEKATA'!$P$3:$P$501,"=421")</f>
        <v>0</v>
      </c>
      <c r="S43" s="140">
        <f>SUMIFS('Plan rashoda za unos u SAP'!$I$3:$I$501,'Plan rashoda za unos u SAP'!$C$3:$C$501,"=61",'Plan rashoda za unos u SAP'!$M$3:$M$501,"=421")+SUMIFS('ANALITIKA EU PROJEKATA'!$G$3:$G$501,'ANALITIKA EU PROJEKATA'!$A$3:$A$501,"=61",'ANALITIKA EU PROJEKATA'!$P$3:$P$501,"=421")</f>
        <v>0</v>
      </c>
      <c r="T43" s="140">
        <f>SUMIFS('Plan rashoda za unos u SAP'!$I$3:$I$501,'Plan rashoda za unos u SAP'!$C$3:$C$501,"=63",'Plan rashoda za unos u SAP'!$M$3:$M$501,"=421")+SUMIFS('ANALITIKA EU PROJEKATA'!$G$3:$G$501,'ANALITIKA EU PROJEKATA'!$A$3:$A$501,"=63",'ANALITIKA EU PROJEKATA'!$P$3:$P$501,"=421")</f>
        <v>0</v>
      </c>
      <c r="U43" s="140">
        <f>SUMIFS('Plan rashoda za unos u SAP'!$I$3:$I$501,'Plan rashoda za unos u SAP'!$C$3:$C$501,"=71",'Plan rashoda za unos u SAP'!$M$3:$M$501,"=421")+SUMIFS('ANALITIKA EU PROJEKATA'!$G$3:$G$501,'ANALITIKA EU PROJEKATA'!$A$3:$A$501,"=71",'ANALITIKA EU PROJEKATA'!$P$3:$P$501,"=421")</f>
        <v>0</v>
      </c>
      <c r="V43" s="140">
        <f>SUMIFS('Plan rashoda za unos u SAP'!$I$3:$I$501,'Plan rashoda za unos u SAP'!$C$3:$C$501,"=81",'Plan rashoda za unos u SAP'!$M$3:$M$501,"=421")+SUMIFS('ANALITIKA EU PROJEKATA'!$G$3:$G$501,'ANALITIKA EU PROJEKATA'!$A$3:$A$501,"=81",'ANALITIKA EU PROJEKATA'!$P$3:$P$501,"=421")</f>
        <v>0</v>
      </c>
      <c r="W43" s="140">
        <f>SUMIFS('Plan rashoda za unos u SAP'!$I$3:$I$501,'Plan rashoda za unos u SAP'!$C$3:$C$501,"=83",'Plan rashoda za unos u SAP'!$M$3:$M$501,"=421")+SUMIFS('ANALITIKA EU PROJEKATA'!$G$3:$G$501,'ANALITIKA EU PROJEKATA'!$A$3:$A$501,"=83",'ANALITIKA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218</v>
      </c>
      <c r="D44" s="14">
        <f t="shared" si="1"/>
        <v>1756928</v>
      </c>
      <c r="E44" s="140">
        <f>SUMIFS('Plan rashoda za unos u SAP'!$I$3:$I$501,'Plan rashoda za unos u SAP'!$C$3:$C$501,"=11",'Plan rashoda za unos u SAP'!$M$3:$M$501,"=422")+SUMIFS('ANALITIKA EU PROJEKATA'!$G$3:$G$501,'ANALITIKA EU PROJEKATA'!$A$3:$A$501,"=11",'ANALITIKA EU PROJEKATA'!$P$3:$P$501,"=422")</f>
        <v>806928</v>
      </c>
      <c r="F44" s="140">
        <f>SUMIFS('Plan rashoda za unos u SAP'!$I$3:$I$501,'Plan rashoda za unos u SAP'!$C$3:$C$501,"=12",'Plan rashoda za unos u SAP'!$M$3:$M$501,"=422")+SUMIFS('ANALITIKA EU PROJEKATA'!$G$3:$G$501,'ANALITIKA EU PROJEKATA'!$A$3:$A$501,"=12",'ANALITIKA EU PROJEKATA'!$P$3:$P$501,"=422")</f>
        <v>0</v>
      </c>
      <c r="G44" s="140">
        <f>SUMIFS('Plan rashoda za unos u SAP'!$I$3:$I$501,'Plan rashoda za unos u SAP'!$C$3:$C$501,"=31",'Plan rashoda za unos u SAP'!$M$3:$M$501,"=422")+SUMIFS('ANALITIKA EU PROJEKATA'!$G$3:$G$501,'ANALITIKA EU PROJEKATA'!$A$3:$A$501,"=31",'ANALITIKA EU PROJEKATA'!$P$3:$P$501,"=422")</f>
        <v>250000</v>
      </c>
      <c r="H44" s="140">
        <f>SUMIFS('Plan rashoda za unos u SAP'!$I$3:$I$501,'Plan rashoda za unos u SAP'!$C$3:$C$501,"=41",'Plan rashoda za unos u SAP'!$M$3:$M$501,"=422")+SUMIFS('ANALITIKA EU PROJEKATA'!$G$3:$G$501,'ANALITIKA EU PROJEKATA'!$A$3:$A$501,"=41",'ANALITIKA EU PROJEKATA'!$P$3:$P$501,"=422")</f>
        <v>0</v>
      </c>
      <c r="I44" s="140">
        <f>SUMIFS('Plan rashoda za unos u SAP'!$I$3:$I$501,'Plan rashoda za unos u SAP'!$C$3:$C$501,"=43",'Plan rashoda za unos u SAP'!$M$3:$M$501,"=422")+SUMIFS('ANALITIKA EU PROJEKATA'!$G$3:$G$501,'ANALITIKA EU PROJEKATA'!$A$3:$A$501,"=43",'ANALITIKA EU PROJEKATA'!$P$3:$P$501,"=422")</f>
        <v>650000</v>
      </c>
      <c r="J44" s="140">
        <f>SUMIFS('Plan rashoda za unos u SAP'!$I$3:$I$501,'Plan rashoda za unos u SAP'!$C$3:$C$501,"=51",'Plan rashoda za unos u SAP'!$M$3:$M$501,"=422")+SUMIFS('ANALITIKA EU PROJEKATA'!$G$3:$G$501,'ANALITIKA EU PROJEKATA'!$A$3:$A$501,"=51",'ANALITIKA EU PROJEKATA'!$P$3:$P$501,"=422")</f>
        <v>50000</v>
      </c>
      <c r="K44" s="140">
        <f>SUMIFS('Plan rashoda za unos u SAP'!$I$3:$I$501,'Plan rashoda za unos u SAP'!$C$3:$C$501,"=52",'Plan rashoda za unos u SAP'!$M$3:$M$501,"=422")+SUMIFS('ANALITIKA EU PROJEKATA'!$G$3:$G$501,'ANALITIKA EU PROJEKATA'!$A$3:$A$501,"=52",'ANALITIKA EU PROJEKATA'!$P$3:$P$501,"=422")</f>
        <v>0</v>
      </c>
      <c r="L44" s="140">
        <f>SUMIFS('Plan rashoda za unos u SAP'!$I$3:$I$501,'Plan rashoda za unos u SAP'!$C$3:$C$501,"=552",'Plan rashoda za unos u SAP'!$M$3:$M$501,"=422")+SUMIFS('ANALITIKA EU PROJEKATA'!$G$3:$G$501,'ANALITIKA EU PROJEKATA'!$A$3:$A$501,"=552",'ANALITIKA EU PROJEKATA'!$P$3:$P$501,"=422")</f>
        <v>0</v>
      </c>
      <c r="M44" s="140">
        <f>SUMIFS('Plan rashoda za unos u SAP'!$I$3:$I$501,'Plan rashoda za unos u SAP'!$C$3:$C$501,"=559",'Plan rashoda za unos u SAP'!$M$3:$M$501,"=422")+SUMIFS('ANALITIKA EU PROJEKATA'!$G$3:$G$501,'ANALITIKA EU PROJEKATA'!$A$3:$A$501,"=559",'ANALITIKA EU PROJEKATA'!$P$3:$P$501,"=422")</f>
        <v>0</v>
      </c>
      <c r="N44" s="140">
        <f>SUMIFS('Plan rashoda za unos u SAP'!$I$3:$I$501,'Plan rashoda za unos u SAP'!$C$3:$C$501,"=561",'Plan rashoda za unos u SAP'!$M$3:$M$501,"=422")+SUMIFS('ANALITIKA EU PROJEKATA'!$G$3:$G$501,'ANALITIKA EU PROJEKATA'!$A$3:$A$501,"=561",'ANALITIKA EU PROJEKATA'!$P$3:$P$501,"=422")</f>
        <v>0</v>
      </c>
      <c r="O44" s="140">
        <f>SUMIFS('Plan rashoda za unos u SAP'!$I$3:$I$501,'Plan rashoda za unos u SAP'!$C$3:$C$501,"=563",'Plan rashoda za unos u SAP'!$M$3:$M$501,"=422")+SUMIFS('ANALITIKA EU PROJEKATA'!$G$3:$G$501,'ANALITIKA EU PROJEKATA'!$A$3:$A$501,"=563",'ANALITIKA EU PROJEKATA'!$P$3:$P$501,"=422")</f>
        <v>0</v>
      </c>
      <c r="P44" s="140">
        <f>SUMIFS('Plan rashoda za unos u SAP'!$I$3:$I$501,'Plan rashoda za unos u SAP'!$C$3:$C$501,"=573",'Plan rashoda za unos u SAP'!$M$3:$M$501,"=422")+SUMIFS('ANALITIKA EU PROJEKATA'!$G$3:$G$501,'ANALITIKA EU PROJEKATA'!$A$3:$A$501,"=573",'ANALITIKA EU PROJEKATA'!$P$3:$P$501,"=422")</f>
        <v>0</v>
      </c>
      <c r="Q44" s="140">
        <f>SUMIFS('Plan rashoda za unos u SAP'!$I$3:$I$501,'Plan rashoda za unos u SAP'!$C$3:$C$501,"=575",'Plan rashoda za unos u SAP'!$M$3:$M$501,"=422")+SUMIFS('ANALITIKA EU PROJEKATA'!$G$3:$G$501,'ANALITIKA EU PROJEKATA'!$A$3:$A$501,"=575",'ANALITIKA EU PROJEKATA'!$P$3:$P$501,"=422")</f>
        <v>0</v>
      </c>
      <c r="R44" s="140">
        <f>SUMIFS('Plan rashoda za unos u SAP'!$I$3:$I$501,'Plan rashoda za unos u SAP'!$C$3:$C$501,"=576",'Plan rashoda za unos u SAP'!$M$3:$M$501,"=422")+SUMIFS('ANALITIKA EU PROJEKATA'!$G$3:$G$501,'ANALITIKA EU PROJEKATA'!$A$3:$A$501,"=576",'ANALITIKA EU PROJEKATA'!$P$3:$P$501,"=422")</f>
        <v>0</v>
      </c>
      <c r="S44" s="140">
        <f>SUMIFS('Plan rashoda za unos u SAP'!$I$3:$I$501,'Plan rashoda za unos u SAP'!$C$3:$C$501,"=61",'Plan rashoda za unos u SAP'!$M$3:$M$501,"=422")+SUMIFS('ANALITIKA EU PROJEKATA'!$G$3:$G$501,'ANALITIKA EU PROJEKATA'!$A$3:$A$501,"=61",'ANALITIKA EU PROJEKATA'!$P$3:$P$501,"=422")</f>
        <v>0</v>
      </c>
      <c r="T44" s="140">
        <f>SUMIFS('Plan rashoda za unos u SAP'!$I$3:$I$501,'Plan rashoda za unos u SAP'!$C$3:$C$501,"=63",'Plan rashoda za unos u SAP'!$M$3:$M$501,"=422")+SUMIFS('ANALITIKA EU PROJEKATA'!$G$3:$G$501,'ANALITIKA EU PROJEKATA'!$A$3:$A$501,"=63",'ANALITIKA EU PROJEKATA'!$P$3:$P$501,"=422")</f>
        <v>0</v>
      </c>
      <c r="U44" s="140">
        <f>SUMIFS('Plan rashoda za unos u SAP'!$I$3:$I$501,'Plan rashoda za unos u SAP'!$C$3:$C$501,"=71",'Plan rashoda za unos u SAP'!$M$3:$M$501,"=422")+SUMIFS('ANALITIKA EU PROJEKATA'!$G$3:$G$501,'ANALITIKA EU PROJEKATA'!$A$3:$A$501,"=71",'ANALITIKA EU PROJEKATA'!$P$3:$P$501,"=422")</f>
        <v>0</v>
      </c>
      <c r="V44" s="140">
        <f>SUMIFS('Plan rashoda za unos u SAP'!$I$3:$I$501,'Plan rashoda za unos u SAP'!$C$3:$C$501,"=81",'Plan rashoda za unos u SAP'!$M$3:$M$501,"=422")+SUMIFS('ANALITIKA EU PROJEKATA'!$G$3:$G$501,'ANALITIKA EU PROJEKATA'!$A$3:$A$501,"=81",'ANALITIKA EU PROJEKATA'!$P$3:$P$501,"=422")</f>
        <v>0</v>
      </c>
      <c r="W44" s="140">
        <f>SUMIFS('Plan rashoda za unos u SAP'!$I$3:$I$501,'Plan rashoda za unos u SAP'!$C$3:$C$501,"=83",'Plan rashoda za unos u SAP'!$M$3:$M$501,"=422")+SUMIFS('ANALITIKA EU PROJEKATA'!$G$3:$G$501,'ANALITIKA EU PROJEKATA'!$A$3:$A$501,"=83",'ANALITIKA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219</v>
      </c>
      <c r="D45" s="14">
        <f t="shared" si="1"/>
        <v>0</v>
      </c>
      <c r="E45" s="140">
        <f>SUMIFS('Plan rashoda za unos u SAP'!$I$3:$I$501,'Plan rashoda za unos u SAP'!$C$3:$C$501,"=11",'Plan rashoda za unos u SAP'!$M$3:$M$501,"=423")+SUMIFS('ANALITIKA EU PROJEKATA'!$G$3:$G$501,'ANALITIKA EU PROJEKATA'!$A$3:$A$501,"=11",'ANALITIKA EU PROJEKATA'!$P$3:$P$501,"=423")</f>
        <v>0</v>
      </c>
      <c r="F45" s="140">
        <f>SUMIFS('Plan rashoda za unos u SAP'!$I$3:$I$501,'Plan rashoda za unos u SAP'!$C$3:$C$501,"=12",'Plan rashoda za unos u SAP'!$M$3:$M$501,"=423")+SUMIFS('ANALITIKA EU PROJEKATA'!$G$3:$G$501,'ANALITIKA EU PROJEKATA'!$A$3:$A$501,"=12",'ANALITIKA EU PROJEKATA'!$P$3:$P$501,"=423")</f>
        <v>0</v>
      </c>
      <c r="G45" s="140">
        <f>SUMIFS('Plan rashoda za unos u SAP'!$I$3:$I$501,'Plan rashoda za unos u SAP'!$C$3:$C$501,"=31",'Plan rashoda za unos u SAP'!$M$3:$M$501,"=423")+SUMIFS('ANALITIKA EU PROJEKATA'!$G$3:$G$501,'ANALITIKA EU PROJEKATA'!$A$3:$A$501,"=31",'ANALITIKA EU PROJEKATA'!$P$3:$P$501,"=423")</f>
        <v>0</v>
      </c>
      <c r="H45" s="140">
        <f>SUMIFS('Plan rashoda za unos u SAP'!$I$3:$I$501,'Plan rashoda za unos u SAP'!$C$3:$C$501,"=41",'Plan rashoda za unos u SAP'!$M$3:$M$501,"=423")+SUMIFS('ANALITIKA EU PROJEKATA'!$G$3:$G$501,'ANALITIKA EU PROJEKATA'!$A$3:$A$501,"=41",'ANALITIKA EU PROJEKATA'!$P$3:$P$501,"=423")</f>
        <v>0</v>
      </c>
      <c r="I45" s="140">
        <f>SUMIFS('Plan rashoda za unos u SAP'!$I$3:$I$501,'Plan rashoda za unos u SAP'!$C$3:$C$501,"=43",'Plan rashoda za unos u SAP'!$M$3:$M$501,"=423")+SUMIFS('ANALITIKA EU PROJEKATA'!$G$3:$G$501,'ANALITIKA EU PROJEKATA'!$A$3:$A$501,"=43",'ANALITIKA EU PROJEKATA'!$P$3:$P$501,"=423")</f>
        <v>0</v>
      </c>
      <c r="J45" s="140">
        <f>SUMIFS('Plan rashoda za unos u SAP'!$I$3:$I$501,'Plan rashoda za unos u SAP'!$C$3:$C$501,"=51",'Plan rashoda za unos u SAP'!$M$3:$M$501,"=423")+SUMIFS('ANALITIKA EU PROJEKATA'!$G$3:$G$501,'ANALITIKA EU PROJEKATA'!$A$3:$A$501,"=51",'ANALITIKA EU PROJEKATA'!$P$3:$P$501,"=423")</f>
        <v>0</v>
      </c>
      <c r="K45" s="140">
        <f>SUMIFS('Plan rashoda za unos u SAP'!$I$3:$I$501,'Plan rashoda za unos u SAP'!$C$3:$C$501,"=52",'Plan rashoda za unos u SAP'!$M$3:$M$501,"=423")+SUMIFS('ANALITIKA EU PROJEKATA'!$G$3:$G$501,'ANALITIKA EU PROJEKATA'!$A$3:$A$501,"=52",'ANALITIKA EU PROJEKATA'!$P$3:$P$501,"=423")</f>
        <v>0</v>
      </c>
      <c r="L45" s="140">
        <f>SUMIFS('Plan rashoda za unos u SAP'!$I$3:$I$501,'Plan rashoda za unos u SAP'!$C$3:$C$501,"=552",'Plan rashoda za unos u SAP'!$M$3:$M$501,"=423")+SUMIFS('ANALITIKA EU PROJEKATA'!$G$3:$G$501,'ANALITIKA EU PROJEKATA'!$A$3:$A$501,"=552",'ANALITIKA EU PROJEKATA'!$P$3:$P$501,"=423")</f>
        <v>0</v>
      </c>
      <c r="M45" s="140">
        <f>SUMIFS('Plan rashoda za unos u SAP'!$I$3:$I$501,'Plan rashoda za unos u SAP'!$C$3:$C$501,"=559",'Plan rashoda za unos u SAP'!$M$3:$M$501,"=423")+SUMIFS('ANALITIKA EU PROJEKATA'!$G$3:$G$501,'ANALITIKA EU PROJEKATA'!$A$3:$A$501,"=559",'ANALITIKA EU PROJEKATA'!$P$3:$P$501,"=423")</f>
        <v>0</v>
      </c>
      <c r="N45" s="140">
        <f>SUMIFS('Plan rashoda za unos u SAP'!$I$3:$I$501,'Plan rashoda za unos u SAP'!$C$3:$C$501,"=561",'Plan rashoda za unos u SAP'!$M$3:$M$501,"=423")+SUMIFS('ANALITIKA EU PROJEKATA'!$G$3:$G$501,'ANALITIKA EU PROJEKATA'!$A$3:$A$501,"=561",'ANALITIKA EU PROJEKATA'!$P$3:$P$501,"=423")</f>
        <v>0</v>
      </c>
      <c r="O45" s="140">
        <f>SUMIFS('Plan rashoda za unos u SAP'!$I$3:$I$501,'Plan rashoda za unos u SAP'!$C$3:$C$501,"=563",'Plan rashoda za unos u SAP'!$M$3:$M$501,"=423")+SUMIFS('ANALITIKA EU PROJEKATA'!$G$3:$G$501,'ANALITIKA EU PROJEKATA'!$A$3:$A$501,"=563",'ANALITIKA EU PROJEKATA'!$P$3:$P$501,"=423")</f>
        <v>0</v>
      </c>
      <c r="P45" s="140">
        <f>SUMIFS('Plan rashoda za unos u SAP'!$I$3:$I$501,'Plan rashoda za unos u SAP'!$C$3:$C$501,"=573",'Plan rashoda za unos u SAP'!$M$3:$M$501,"=423")+SUMIFS('ANALITIKA EU PROJEKATA'!$G$3:$G$501,'ANALITIKA EU PROJEKATA'!$A$3:$A$501,"=573",'ANALITIKA EU PROJEKATA'!$P$3:$P$501,"=423")</f>
        <v>0</v>
      </c>
      <c r="Q45" s="140">
        <f>SUMIFS('Plan rashoda za unos u SAP'!$I$3:$I$501,'Plan rashoda za unos u SAP'!$C$3:$C$501,"=575",'Plan rashoda za unos u SAP'!$M$3:$M$501,"=423")+SUMIFS('ANALITIKA EU PROJEKATA'!$G$3:$G$501,'ANALITIKA EU PROJEKATA'!$A$3:$A$501,"=575",'ANALITIKA EU PROJEKATA'!$P$3:$P$501,"=423")</f>
        <v>0</v>
      </c>
      <c r="R45" s="140">
        <f>SUMIFS('Plan rashoda za unos u SAP'!$I$3:$I$501,'Plan rashoda za unos u SAP'!$C$3:$C$501,"=576",'Plan rashoda za unos u SAP'!$M$3:$M$501,"=423")+SUMIFS('ANALITIKA EU PROJEKATA'!$G$3:$G$501,'ANALITIKA EU PROJEKATA'!$A$3:$A$501,"=576",'ANALITIKA EU PROJEKATA'!$P$3:$P$501,"=423")</f>
        <v>0</v>
      </c>
      <c r="S45" s="140">
        <f>SUMIFS('Plan rashoda za unos u SAP'!$I$3:$I$501,'Plan rashoda za unos u SAP'!$C$3:$C$501,"=61",'Plan rashoda za unos u SAP'!$M$3:$M$501,"=423")+SUMIFS('ANALITIKA EU PROJEKATA'!$G$3:$G$501,'ANALITIKA EU PROJEKATA'!$A$3:$A$501,"=61",'ANALITIKA EU PROJEKATA'!$P$3:$P$501,"=423")</f>
        <v>0</v>
      </c>
      <c r="T45" s="140">
        <f>SUMIFS('Plan rashoda za unos u SAP'!$I$3:$I$501,'Plan rashoda za unos u SAP'!$C$3:$C$501,"=63",'Plan rashoda za unos u SAP'!$M$3:$M$501,"=423")+SUMIFS('ANALITIKA EU PROJEKATA'!$G$3:$G$501,'ANALITIKA EU PROJEKATA'!$A$3:$A$501,"=63",'ANALITIKA EU PROJEKATA'!$P$3:$P$501,"=423")</f>
        <v>0</v>
      </c>
      <c r="U45" s="140">
        <f>SUMIFS('Plan rashoda za unos u SAP'!$I$3:$I$501,'Plan rashoda za unos u SAP'!$C$3:$C$501,"=71",'Plan rashoda za unos u SAP'!$M$3:$M$501,"=423")+SUMIFS('ANALITIKA EU PROJEKATA'!$G$3:$G$501,'ANALITIKA EU PROJEKATA'!$A$3:$A$501,"=71",'ANALITIKA EU PROJEKATA'!$P$3:$P$501,"=423")</f>
        <v>0</v>
      </c>
      <c r="V45" s="140">
        <f>SUMIFS('Plan rashoda za unos u SAP'!$I$3:$I$501,'Plan rashoda za unos u SAP'!$C$3:$C$501,"=81",'Plan rashoda za unos u SAP'!$M$3:$M$501,"=423")+SUMIFS('ANALITIKA EU PROJEKATA'!$G$3:$G$501,'ANALITIKA EU PROJEKATA'!$A$3:$A$501,"=81",'ANALITIKA EU PROJEKATA'!$P$3:$P$501,"=423")</f>
        <v>0</v>
      </c>
      <c r="W45" s="140">
        <f>SUMIFS('Plan rashoda za unos u SAP'!$I$3:$I$501,'Plan rashoda za unos u SAP'!$C$3:$C$501,"=83",'Plan rashoda za unos u SAP'!$M$3:$M$501,"=423")+SUMIFS('ANALITIKA EU PROJEKATA'!$G$3:$G$501,'ANALITIKA EU PROJEKATA'!$A$3:$A$501,"=83",'ANALITIKA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220</v>
      </c>
      <c r="D46" s="14">
        <f t="shared" si="1"/>
        <v>1572646</v>
      </c>
      <c r="E46" s="140">
        <f>SUMIFS('Plan rashoda za unos u SAP'!$I$3:$I$501,'Plan rashoda za unos u SAP'!$C$3:$C$501,"=11",'Plan rashoda za unos u SAP'!$M$3:$M$501,"=424")+SUMIFS('ANALITIKA EU PROJEKATA'!$G$3:$G$501,'ANALITIKA EU PROJEKATA'!$A$3:$A$501,"=11",'ANALITIKA EU PROJEKATA'!$P$3:$P$501,"=424")</f>
        <v>800000</v>
      </c>
      <c r="F46" s="140">
        <f>SUMIFS('Plan rashoda za unos u SAP'!$I$3:$I$501,'Plan rashoda za unos u SAP'!$C$3:$C$501,"=12",'Plan rashoda za unos u SAP'!$M$3:$M$501,"=424")+SUMIFS('ANALITIKA EU PROJEKATA'!$G$3:$G$501,'ANALITIKA EU PROJEKATA'!$A$3:$A$501,"=12",'ANALITIKA EU PROJEKATA'!$P$3:$P$501,"=424")</f>
        <v>0</v>
      </c>
      <c r="G46" s="140">
        <f>SUMIFS('Plan rashoda za unos u SAP'!$I$3:$I$501,'Plan rashoda za unos u SAP'!$C$3:$C$501,"=31",'Plan rashoda za unos u SAP'!$M$3:$M$501,"=424")+SUMIFS('ANALITIKA EU PROJEKATA'!$G$3:$G$501,'ANALITIKA EU PROJEKATA'!$A$3:$A$501,"=31",'ANALITIKA EU PROJEKATA'!$P$3:$P$501,"=424")</f>
        <v>125000</v>
      </c>
      <c r="H46" s="140">
        <f>SUMIFS('Plan rashoda za unos u SAP'!$I$3:$I$501,'Plan rashoda za unos u SAP'!$C$3:$C$501,"=41",'Plan rashoda za unos u SAP'!$M$3:$M$501,"=424")+SUMIFS('ANALITIKA EU PROJEKATA'!$G$3:$G$501,'ANALITIKA EU PROJEKATA'!$A$3:$A$501,"=41",'ANALITIKA EU PROJEKATA'!$P$3:$P$501,"=424")</f>
        <v>0</v>
      </c>
      <c r="I46" s="140">
        <f>SUMIFS('Plan rashoda za unos u SAP'!$I$3:$I$501,'Plan rashoda za unos u SAP'!$C$3:$C$501,"=43",'Plan rashoda za unos u SAP'!$M$3:$M$501,"=424")+SUMIFS('ANALITIKA EU PROJEKATA'!$G$3:$G$501,'ANALITIKA EU PROJEKATA'!$A$3:$A$501,"=43",'ANALITIKA EU PROJEKATA'!$P$3:$P$501,"=424")</f>
        <v>450000</v>
      </c>
      <c r="J46" s="140">
        <f>SUMIFS('Plan rashoda za unos u SAP'!$I$3:$I$501,'Plan rashoda za unos u SAP'!$C$3:$C$501,"=51",'Plan rashoda za unos u SAP'!$M$3:$M$501,"=424")+SUMIFS('ANALITIKA EU PROJEKATA'!$G$3:$G$501,'ANALITIKA EU PROJEKATA'!$A$3:$A$501,"=51",'ANALITIKA EU PROJEKATA'!$P$3:$P$501,"=424")</f>
        <v>97646</v>
      </c>
      <c r="K46" s="140">
        <f>SUMIFS('Plan rashoda za unos u SAP'!$I$3:$I$501,'Plan rashoda za unos u SAP'!$C$3:$C$501,"=52",'Plan rashoda za unos u SAP'!$M$3:$M$501,"=424")+SUMIFS('ANALITIKA EU PROJEKATA'!$G$3:$G$501,'ANALITIKA EU PROJEKATA'!$A$3:$A$501,"=52",'ANALITIKA EU PROJEKATA'!$P$3:$P$501,"=424")</f>
        <v>100000</v>
      </c>
      <c r="L46" s="140">
        <f>SUMIFS('Plan rashoda za unos u SAP'!$I$3:$I$501,'Plan rashoda za unos u SAP'!$C$3:$C$501,"=552",'Plan rashoda za unos u SAP'!$M$3:$M$501,"=424")+SUMIFS('ANALITIKA EU PROJEKATA'!$G$3:$G$501,'ANALITIKA EU PROJEKATA'!$A$3:$A$501,"=552",'ANALITIKA EU PROJEKATA'!$P$3:$P$501,"=424")</f>
        <v>0</v>
      </c>
      <c r="M46" s="140">
        <f>SUMIFS('Plan rashoda za unos u SAP'!$I$3:$I$501,'Plan rashoda za unos u SAP'!$C$3:$C$501,"=559",'Plan rashoda za unos u SAP'!$M$3:$M$501,"=424")+SUMIFS('ANALITIKA EU PROJEKATA'!$G$3:$G$501,'ANALITIKA EU PROJEKATA'!$A$3:$A$501,"=559",'ANALITIKA EU PROJEKATA'!$P$3:$P$501,"=424")</f>
        <v>0</v>
      </c>
      <c r="N46" s="140">
        <f>SUMIFS('Plan rashoda za unos u SAP'!$I$3:$I$501,'Plan rashoda za unos u SAP'!$C$3:$C$501,"=561",'Plan rashoda za unos u SAP'!$M$3:$M$501,"=424")+SUMIFS('ANALITIKA EU PROJEKATA'!$G$3:$G$501,'ANALITIKA EU PROJEKATA'!$A$3:$A$501,"=561",'ANALITIKA EU PROJEKATA'!$P$3:$P$501,"=424")</f>
        <v>0</v>
      </c>
      <c r="O46" s="140">
        <f>SUMIFS('Plan rashoda za unos u SAP'!$I$3:$I$501,'Plan rashoda za unos u SAP'!$C$3:$C$501,"=563",'Plan rashoda za unos u SAP'!$M$3:$M$501,"=424")+SUMIFS('ANALITIKA EU PROJEKATA'!$G$3:$G$501,'ANALITIKA EU PROJEKATA'!$A$3:$A$501,"=563",'ANALITIKA EU PROJEKATA'!$P$3:$P$501,"=424")</f>
        <v>0</v>
      </c>
      <c r="P46" s="140">
        <f>SUMIFS('Plan rashoda za unos u SAP'!$I$3:$I$501,'Plan rashoda za unos u SAP'!$C$3:$C$501,"=573",'Plan rashoda za unos u SAP'!$M$3:$M$501,"=424")+SUMIFS('ANALITIKA EU PROJEKATA'!$G$3:$G$501,'ANALITIKA EU PROJEKATA'!$A$3:$A$501,"=573",'ANALITIKA EU PROJEKATA'!$P$3:$P$501,"=424")</f>
        <v>0</v>
      </c>
      <c r="Q46" s="140">
        <f>SUMIFS('Plan rashoda za unos u SAP'!$I$3:$I$501,'Plan rashoda za unos u SAP'!$C$3:$C$501,"=575",'Plan rashoda za unos u SAP'!$M$3:$M$501,"=424")+SUMIFS('ANALITIKA EU PROJEKATA'!$G$3:$G$501,'ANALITIKA EU PROJEKATA'!$A$3:$A$501,"=575",'ANALITIKA EU PROJEKATA'!$P$3:$P$501,"=424")</f>
        <v>0</v>
      </c>
      <c r="R46" s="140">
        <f>SUMIFS('Plan rashoda za unos u SAP'!$I$3:$I$501,'Plan rashoda za unos u SAP'!$C$3:$C$501,"=576",'Plan rashoda za unos u SAP'!$M$3:$M$501,"=424")+SUMIFS('ANALITIKA EU PROJEKATA'!$G$3:$G$501,'ANALITIKA EU PROJEKATA'!$A$3:$A$501,"=576",'ANALITIKA EU PROJEKATA'!$P$3:$P$501,"=424")</f>
        <v>0</v>
      </c>
      <c r="S46" s="140">
        <f>SUMIFS('Plan rashoda za unos u SAP'!$I$3:$I$501,'Plan rashoda za unos u SAP'!$C$3:$C$501,"=61",'Plan rashoda za unos u SAP'!$M$3:$M$501,"=424")+SUMIFS('ANALITIKA EU PROJEKATA'!$G$3:$G$501,'ANALITIKA EU PROJEKATA'!$A$3:$A$501,"=61",'ANALITIKA EU PROJEKATA'!$P$3:$P$501,"=424")</f>
        <v>0</v>
      </c>
      <c r="T46" s="140">
        <f>SUMIFS('Plan rashoda za unos u SAP'!$I$3:$I$501,'Plan rashoda za unos u SAP'!$C$3:$C$501,"=63",'Plan rashoda za unos u SAP'!$M$3:$M$501,"=424")+SUMIFS('ANALITIKA EU PROJEKATA'!$G$3:$G$501,'ANALITIKA EU PROJEKATA'!$A$3:$A$501,"=63",'ANALITIKA EU PROJEKATA'!$P$3:$P$501,"=424")</f>
        <v>0</v>
      </c>
      <c r="U46" s="140">
        <f>SUMIFS('Plan rashoda za unos u SAP'!$I$3:$I$501,'Plan rashoda za unos u SAP'!$C$3:$C$501,"=71",'Plan rashoda za unos u SAP'!$M$3:$M$501,"=424")+SUMIFS('ANALITIKA EU PROJEKATA'!$G$3:$G$501,'ANALITIKA EU PROJEKATA'!$A$3:$A$501,"=71",'ANALITIKA EU PROJEKATA'!$P$3:$P$501,"=424")</f>
        <v>0</v>
      </c>
      <c r="V46" s="140">
        <f>SUMIFS('Plan rashoda za unos u SAP'!$I$3:$I$501,'Plan rashoda za unos u SAP'!$C$3:$C$501,"=81",'Plan rashoda za unos u SAP'!$M$3:$M$501,"=424")+SUMIFS('ANALITIKA EU PROJEKATA'!$G$3:$G$501,'ANALITIKA EU PROJEKATA'!$A$3:$A$501,"=81",'ANALITIKA EU PROJEKATA'!$P$3:$P$501,"=424")</f>
        <v>0</v>
      </c>
      <c r="W46" s="140">
        <f>SUMIFS('Plan rashoda za unos u SAP'!$I$3:$I$501,'Plan rashoda za unos u SAP'!$C$3:$C$501,"=83",'Plan rashoda za unos u SAP'!$M$3:$M$501,"=424")+SUMIFS('ANALITIKA EU PROJEKATA'!$G$3:$G$501,'ANALITIKA EU PROJEKATA'!$A$3:$A$501,"=83",'ANALITIKA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343</v>
      </c>
      <c r="D47" s="14">
        <f t="shared" si="1"/>
        <v>0</v>
      </c>
      <c r="E47" s="140">
        <f>SUMIFS('Plan rashoda za unos u SAP'!$I$3:$I$501,'Plan rashoda za unos u SAP'!$C$3:$C$501,"=11",'Plan rashoda za unos u SAP'!$M$3:$M$501,"=425")+SUMIFS('ANALITIKA EU PROJEKATA'!$G$3:$G$501,'ANALITIKA EU PROJEKATA'!$A$3:$A$501,"=11",'ANALITIKA EU PROJEKATA'!$P$3:$P$501,"=425")</f>
        <v>0</v>
      </c>
      <c r="F47" s="140">
        <f>SUMIFS('Plan rashoda za unos u SAP'!$I$3:$I$501,'Plan rashoda za unos u SAP'!$C$3:$C$501,"=12",'Plan rashoda za unos u SAP'!$M$3:$M$501,"=425")+SUMIFS('ANALITIKA EU PROJEKATA'!$G$3:$G$501,'ANALITIKA EU PROJEKATA'!$A$3:$A$501,"=12",'ANALITIKA EU PROJEKATA'!$P$3:$P$501,"=425")</f>
        <v>0</v>
      </c>
      <c r="G47" s="140">
        <f>SUMIFS('Plan rashoda za unos u SAP'!$I$3:$I$501,'Plan rashoda za unos u SAP'!$C$3:$C$501,"=31",'Plan rashoda za unos u SAP'!$M$3:$M$501,"=425")+SUMIFS('ANALITIKA EU PROJEKATA'!$G$3:$G$501,'ANALITIKA EU PROJEKATA'!$A$3:$A$501,"=31",'ANALITIKA EU PROJEKATA'!$P$3:$P$501,"=425")</f>
        <v>0</v>
      </c>
      <c r="H47" s="140">
        <f>SUMIFS('Plan rashoda za unos u SAP'!$I$3:$I$501,'Plan rashoda za unos u SAP'!$C$3:$C$501,"=41",'Plan rashoda za unos u SAP'!$M$3:$M$501,"=425")+SUMIFS('ANALITIKA EU PROJEKATA'!$G$3:$G$501,'ANALITIKA EU PROJEKATA'!$A$3:$A$501,"=41",'ANALITIKA EU PROJEKATA'!$P$3:$P$501,"=425")</f>
        <v>0</v>
      </c>
      <c r="I47" s="140">
        <f>SUMIFS('Plan rashoda za unos u SAP'!$I$3:$I$501,'Plan rashoda za unos u SAP'!$C$3:$C$501,"=43",'Plan rashoda za unos u SAP'!$M$3:$M$501,"=425")+SUMIFS('ANALITIKA EU PROJEKATA'!$G$3:$G$501,'ANALITIKA EU PROJEKATA'!$A$3:$A$501,"=43",'ANALITIKA EU PROJEKATA'!$P$3:$P$501,"=425")</f>
        <v>0</v>
      </c>
      <c r="J47" s="140">
        <f>SUMIFS('Plan rashoda za unos u SAP'!$I$3:$I$501,'Plan rashoda za unos u SAP'!$C$3:$C$501,"=51",'Plan rashoda za unos u SAP'!$M$3:$M$501,"=425")+SUMIFS('ANALITIKA EU PROJEKATA'!$G$3:$G$501,'ANALITIKA EU PROJEKATA'!$A$3:$A$501,"=51",'ANALITIKA EU PROJEKATA'!$P$3:$P$501,"=425")</f>
        <v>0</v>
      </c>
      <c r="K47" s="140">
        <f>SUMIFS('Plan rashoda za unos u SAP'!$I$3:$I$501,'Plan rashoda za unos u SAP'!$C$3:$C$501,"=52",'Plan rashoda za unos u SAP'!$M$3:$M$501,"=425")+SUMIFS('ANALITIKA EU PROJEKATA'!$G$3:$G$501,'ANALITIKA EU PROJEKATA'!$A$3:$A$501,"=52",'ANALITIKA EU PROJEKATA'!$P$3:$P$501,"=425")</f>
        <v>0</v>
      </c>
      <c r="L47" s="140">
        <f>SUMIFS('Plan rashoda za unos u SAP'!$I$3:$I$501,'Plan rashoda za unos u SAP'!$C$3:$C$501,"=552",'Plan rashoda za unos u SAP'!$M$3:$M$501,"=425")+SUMIFS('ANALITIKA EU PROJEKATA'!$G$3:$G$501,'ANALITIKA EU PROJEKATA'!$A$3:$A$501,"=552",'ANALITIKA EU PROJEKATA'!$P$3:$P$501,"=425")</f>
        <v>0</v>
      </c>
      <c r="M47" s="140">
        <f>SUMIFS('Plan rashoda za unos u SAP'!$I$3:$I$501,'Plan rashoda za unos u SAP'!$C$3:$C$501,"=559",'Plan rashoda za unos u SAP'!$M$3:$M$501,"=425")+SUMIFS('ANALITIKA EU PROJEKATA'!$G$3:$G$501,'ANALITIKA EU PROJEKATA'!$A$3:$A$501,"=559",'ANALITIKA EU PROJEKATA'!$P$3:$P$501,"=425")</f>
        <v>0</v>
      </c>
      <c r="N47" s="140">
        <f>SUMIFS('Plan rashoda za unos u SAP'!$I$3:$I$501,'Plan rashoda za unos u SAP'!$C$3:$C$501,"=561",'Plan rashoda za unos u SAP'!$M$3:$M$501,"=425")+SUMIFS('ANALITIKA EU PROJEKATA'!$G$3:$G$501,'ANALITIKA EU PROJEKATA'!$A$3:$A$501,"=561",'ANALITIKA EU PROJEKATA'!$P$3:$P$501,"=425")</f>
        <v>0</v>
      </c>
      <c r="O47" s="140">
        <f>SUMIFS('Plan rashoda za unos u SAP'!$I$3:$I$501,'Plan rashoda za unos u SAP'!$C$3:$C$501,"=563",'Plan rashoda za unos u SAP'!$M$3:$M$501,"=425")+SUMIFS('ANALITIKA EU PROJEKATA'!$G$3:$G$501,'ANALITIKA EU PROJEKATA'!$A$3:$A$501,"=563",'ANALITIKA EU PROJEKATA'!$P$3:$P$501,"=425")</f>
        <v>0</v>
      </c>
      <c r="P47" s="140">
        <f>SUMIFS('Plan rashoda za unos u SAP'!$I$3:$I$501,'Plan rashoda za unos u SAP'!$C$3:$C$501,"=573",'Plan rashoda za unos u SAP'!$M$3:$M$501,"=425")+SUMIFS('ANALITIKA EU PROJEKATA'!$G$3:$G$501,'ANALITIKA EU PROJEKATA'!$A$3:$A$501,"=573",'ANALITIKA EU PROJEKATA'!$P$3:$P$501,"=425")</f>
        <v>0</v>
      </c>
      <c r="Q47" s="140">
        <f>SUMIFS('Plan rashoda za unos u SAP'!$I$3:$I$501,'Plan rashoda za unos u SAP'!$C$3:$C$501,"=575",'Plan rashoda za unos u SAP'!$M$3:$M$501,"=425")+SUMIFS('ANALITIKA EU PROJEKATA'!$G$3:$G$501,'ANALITIKA EU PROJEKATA'!$A$3:$A$501,"=575",'ANALITIKA EU PROJEKATA'!$P$3:$P$501,"=425")</f>
        <v>0</v>
      </c>
      <c r="R47" s="140">
        <f>SUMIFS('Plan rashoda za unos u SAP'!$I$3:$I$501,'Plan rashoda za unos u SAP'!$C$3:$C$501,"=576",'Plan rashoda za unos u SAP'!$M$3:$M$501,"=425")+SUMIFS('ANALITIKA EU PROJEKATA'!$G$3:$G$501,'ANALITIKA EU PROJEKATA'!$A$3:$A$501,"=576",'ANALITIKA EU PROJEKATA'!$P$3:$P$501,"=425")</f>
        <v>0</v>
      </c>
      <c r="S47" s="140">
        <f>SUMIFS('Plan rashoda za unos u SAP'!$I$3:$I$501,'Plan rashoda za unos u SAP'!$C$3:$C$501,"=61",'Plan rashoda za unos u SAP'!$M$3:$M$501,"=425")+SUMIFS('ANALITIKA EU PROJEKATA'!$G$3:$G$501,'ANALITIKA EU PROJEKATA'!$A$3:$A$501,"=61",'ANALITIKA EU PROJEKATA'!$P$3:$P$501,"=425")</f>
        <v>0</v>
      </c>
      <c r="T47" s="140">
        <f>SUMIFS('Plan rashoda za unos u SAP'!$I$3:$I$501,'Plan rashoda za unos u SAP'!$C$3:$C$501,"=63",'Plan rashoda za unos u SAP'!$M$3:$M$501,"=425")+SUMIFS('ANALITIKA EU PROJEKATA'!$G$3:$G$501,'ANALITIKA EU PROJEKATA'!$A$3:$A$501,"=63",'ANALITIKA EU PROJEKATA'!$P$3:$P$501,"=425")</f>
        <v>0</v>
      </c>
      <c r="U47" s="140">
        <f>SUMIFS('Plan rashoda za unos u SAP'!$I$3:$I$501,'Plan rashoda za unos u SAP'!$C$3:$C$501,"=71",'Plan rashoda za unos u SAP'!$M$3:$M$501,"=425")+SUMIFS('ANALITIKA EU PROJEKATA'!$G$3:$G$501,'ANALITIKA EU PROJEKATA'!$A$3:$A$501,"=71",'ANALITIKA EU PROJEKATA'!$P$3:$P$501,"=425")</f>
        <v>0</v>
      </c>
      <c r="V47" s="140">
        <f>SUMIFS('Plan rashoda za unos u SAP'!$I$3:$I$501,'Plan rashoda za unos u SAP'!$C$3:$C$501,"=81",'Plan rashoda za unos u SAP'!$M$3:$M$501,"=425")+SUMIFS('ANALITIKA EU PROJEKATA'!$G$3:$G$501,'ANALITIKA EU PROJEKATA'!$A$3:$A$501,"=81",'ANALITIKA EU PROJEKATA'!$P$3:$P$501,"=425")</f>
        <v>0</v>
      </c>
      <c r="W47" s="140">
        <f>SUMIFS('Plan rashoda za unos u SAP'!$I$3:$I$501,'Plan rashoda za unos u SAP'!$C$3:$C$501,"=83",'Plan rashoda za unos u SAP'!$M$3:$M$501,"=425")+SUMIFS('ANALITIKA EU PROJEKATA'!$G$3:$G$501,'ANALITIKA EU PROJEKATA'!$A$3:$A$501,"=83",'ANALITIKA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221</v>
      </c>
      <c r="D48" s="14">
        <f t="shared" si="1"/>
        <v>20000</v>
      </c>
      <c r="E48" s="140">
        <f>SUMIFS('Plan rashoda za unos u SAP'!$I$3:$I$501,'Plan rashoda za unos u SAP'!$C$3:$C$501,"=11",'Plan rashoda za unos u SAP'!$M$3:$M$501,"=426")+SUMIFS('ANALITIKA EU PROJEKATA'!$G$3:$G$501,'ANALITIKA EU PROJEKATA'!$A$3:$A$501,"=11",'ANALITIKA EU PROJEKATA'!$P$3:$P$501,"=426")</f>
        <v>0</v>
      </c>
      <c r="F48" s="140">
        <f>SUMIFS('Plan rashoda za unos u SAP'!$I$3:$I$501,'Plan rashoda za unos u SAP'!$C$3:$C$501,"=12",'Plan rashoda za unos u SAP'!$M$3:$M$501,"=426")+SUMIFS('ANALITIKA EU PROJEKATA'!$G$3:$G$501,'ANALITIKA EU PROJEKATA'!$A$3:$A$501,"=12",'ANALITIKA EU PROJEKATA'!$P$3:$P$501,"=426")</f>
        <v>0</v>
      </c>
      <c r="G48" s="140">
        <f>SUMIFS('Plan rashoda za unos u SAP'!$I$3:$I$501,'Plan rashoda za unos u SAP'!$C$3:$C$501,"=31",'Plan rashoda za unos u SAP'!$M$3:$M$501,"=426")+SUMIFS('ANALITIKA EU PROJEKATA'!$G$3:$G$501,'ANALITIKA EU PROJEKATA'!$A$3:$A$501,"=31",'ANALITIKA EU PROJEKATA'!$P$3:$P$501,"=426")</f>
        <v>0</v>
      </c>
      <c r="H48" s="140">
        <f>SUMIFS('Plan rashoda za unos u SAP'!$I$3:$I$501,'Plan rashoda za unos u SAP'!$C$3:$C$501,"=41",'Plan rashoda za unos u SAP'!$M$3:$M$501,"=426")+SUMIFS('ANALITIKA EU PROJEKATA'!$G$3:$G$501,'ANALITIKA EU PROJEKATA'!$A$3:$A$501,"=41",'ANALITIKA EU PROJEKATA'!$P$3:$P$501,"=426")</f>
        <v>0</v>
      </c>
      <c r="I48" s="140">
        <f>SUMIFS('Plan rashoda za unos u SAP'!$I$3:$I$501,'Plan rashoda za unos u SAP'!$C$3:$C$501,"=43",'Plan rashoda za unos u SAP'!$M$3:$M$501,"=426")+SUMIFS('ANALITIKA EU PROJEKATA'!$G$3:$G$501,'ANALITIKA EU PROJEKATA'!$A$3:$A$501,"=43",'ANALITIKA EU PROJEKATA'!$P$3:$P$501,"=426")</f>
        <v>20000</v>
      </c>
      <c r="J48" s="140">
        <f>SUMIFS('Plan rashoda za unos u SAP'!$I$3:$I$501,'Plan rashoda za unos u SAP'!$C$3:$C$501,"=51",'Plan rashoda za unos u SAP'!$M$3:$M$501,"=426")+SUMIFS('ANALITIKA EU PROJEKATA'!$G$3:$G$501,'ANALITIKA EU PROJEKATA'!$A$3:$A$501,"=51",'ANALITIKA EU PROJEKATA'!$P$3:$P$501,"=426")</f>
        <v>0</v>
      </c>
      <c r="K48" s="140">
        <f>SUMIFS('Plan rashoda za unos u SAP'!$I$3:$I$501,'Plan rashoda za unos u SAP'!$C$3:$C$501,"=52",'Plan rashoda za unos u SAP'!$M$3:$M$501,"=426")+SUMIFS('ANALITIKA EU PROJEKATA'!$G$3:$G$501,'ANALITIKA EU PROJEKATA'!$A$3:$A$501,"=52",'ANALITIKA EU PROJEKATA'!$P$3:$P$501,"=426")</f>
        <v>0</v>
      </c>
      <c r="L48" s="140">
        <f>SUMIFS('Plan rashoda za unos u SAP'!$I$3:$I$501,'Plan rashoda za unos u SAP'!$C$3:$C$501,"=552",'Plan rashoda za unos u SAP'!$M$3:$M$501,"=426")+SUMIFS('ANALITIKA EU PROJEKATA'!$G$3:$G$501,'ANALITIKA EU PROJEKATA'!$A$3:$A$501,"=552",'ANALITIKA EU PROJEKATA'!$P$3:$P$501,"=426")</f>
        <v>0</v>
      </c>
      <c r="M48" s="140">
        <f>SUMIFS('Plan rashoda za unos u SAP'!$I$3:$I$501,'Plan rashoda za unos u SAP'!$C$3:$C$501,"=559",'Plan rashoda za unos u SAP'!$M$3:$M$501,"=426")+SUMIFS('ANALITIKA EU PROJEKATA'!$G$3:$G$501,'ANALITIKA EU PROJEKATA'!$A$3:$A$501,"=559",'ANALITIKA EU PROJEKATA'!$P$3:$P$501,"=426")</f>
        <v>0</v>
      </c>
      <c r="N48" s="140">
        <f>SUMIFS('Plan rashoda za unos u SAP'!$I$3:$I$501,'Plan rashoda za unos u SAP'!$C$3:$C$501,"=561",'Plan rashoda za unos u SAP'!$M$3:$M$501,"=426")+SUMIFS('ANALITIKA EU PROJEKATA'!$G$3:$G$501,'ANALITIKA EU PROJEKATA'!$A$3:$A$501,"=561",'ANALITIKA EU PROJEKATA'!$P$3:$P$501,"=426")</f>
        <v>0</v>
      </c>
      <c r="O48" s="140">
        <f>SUMIFS('Plan rashoda za unos u SAP'!$I$3:$I$501,'Plan rashoda za unos u SAP'!$C$3:$C$501,"=563",'Plan rashoda za unos u SAP'!$M$3:$M$501,"=426")+SUMIFS('ANALITIKA EU PROJEKATA'!$G$3:$G$501,'ANALITIKA EU PROJEKATA'!$A$3:$A$501,"=563",'ANALITIKA EU PROJEKATA'!$P$3:$P$501,"=426")</f>
        <v>0</v>
      </c>
      <c r="P48" s="140">
        <f>SUMIFS('Plan rashoda za unos u SAP'!$I$3:$I$501,'Plan rashoda za unos u SAP'!$C$3:$C$501,"=573",'Plan rashoda za unos u SAP'!$M$3:$M$501,"=426")+SUMIFS('ANALITIKA EU PROJEKATA'!$G$3:$G$501,'ANALITIKA EU PROJEKATA'!$A$3:$A$501,"=573",'ANALITIKA EU PROJEKATA'!$P$3:$P$501,"=426")</f>
        <v>0</v>
      </c>
      <c r="Q48" s="140">
        <f>SUMIFS('Plan rashoda za unos u SAP'!$I$3:$I$501,'Plan rashoda za unos u SAP'!$C$3:$C$501,"=575",'Plan rashoda za unos u SAP'!$M$3:$M$501,"=426")+SUMIFS('ANALITIKA EU PROJEKATA'!$G$3:$G$501,'ANALITIKA EU PROJEKATA'!$A$3:$A$501,"=575",'ANALITIKA EU PROJEKATA'!$P$3:$P$501,"=426")</f>
        <v>0</v>
      </c>
      <c r="R48" s="140">
        <f>SUMIFS('Plan rashoda za unos u SAP'!$I$3:$I$501,'Plan rashoda za unos u SAP'!$C$3:$C$501,"=576",'Plan rashoda za unos u SAP'!$M$3:$M$501,"=426")+SUMIFS('ANALITIKA EU PROJEKATA'!$G$3:$G$501,'ANALITIKA EU PROJEKATA'!$A$3:$A$501,"=576",'ANALITIKA EU PROJEKATA'!$P$3:$P$501,"=426")</f>
        <v>0</v>
      </c>
      <c r="S48" s="140">
        <f>SUMIFS('Plan rashoda za unos u SAP'!$I$3:$I$501,'Plan rashoda za unos u SAP'!$C$3:$C$501,"=61",'Plan rashoda za unos u SAP'!$M$3:$M$501,"=426")+SUMIFS('ANALITIKA EU PROJEKATA'!$G$3:$G$501,'ANALITIKA EU PROJEKATA'!$A$3:$A$501,"=61",'ANALITIKA EU PROJEKATA'!$P$3:$P$501,"=426")</f>
        <v>0</v>
      </c>
      <c r="T48" s="140">
        <f>SUMIFS('Plan rashoda za unos u SAP'!$I$3:$I$501,'Plan rashoda za unos u SAP'!$C$3:$C$501,"=63",'Plan rashoda za unos u SAP'!$M$3:$M$501,"=426")+SUMIFS('ANALITIKA EU PROJEKATA'!$G$3:$G$501,'ANALITIKA EU PROJEKATA'!$A$3:$A$501,"=63",'ANALITIKA EU PROJEKATA'!$P$3:$P$501,"=426")</f>
        <v>0</v>
      </c>
      <c r="U48" s="140">
        <f>SUMIFS('Plan rashoda za unos u SAP'!$I$3:$I$501,'Plan rashoda za unos u SAP'!$C$3:$C$501,"=71",'Plan rashoda za unos u SAP'!$M$3:$M$501,"=426")+SUMIFS('ANALITIKA EU PROJEKATA'!$G$3:$G$501,'ANALITIKA EU PROJEKATA'!$A$3:$A$501,"=71",'ANALITIKA EU PROJEKATA'!$P$3:$P$501,"=426")</f>
        <v>0</v>
      </c>
      <c r="V48" s="140">
        <f>SUMIFS('Plan rashoda za unos u SAP'!$I$3:$I$501,'Plan rashoda za unos u SAP'!$C$3:$C$501,"=81",'Plan rashoda za unos u SAP'!$M$3:$M$501,"=426")+SUMIFS('ANALITIKA EU PROJEKATA'!$G$3:$G$501,'ANALITIKA EU PROJEKATA'!$A$3:$A$501,"=81",'ANALITIKA EU PROJEKATA'!$P$3:$P$501,"=426")</f>
        <v>0</v>
      </c>
      <c r="W48" s="140">
        <f>SUMIFS('Plan rashoda za unos u SAP'!$I$3:$I$501,'Plan rashoda za unos u SAP'!$C$3:$C$501,"=83",'Plan rashoda za unos u SAP'!$M$3:$M$501,"=426")+SUMIFS('ANALITIKA EU PROJEKATA'!$G$3:$G$501,'ANALITIKA EU PROJEKATA'!$A$3:$A$501,"=83",'ANALITIKA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344</v>
      </c>
      <c r="D49" s="4">
        <f t="shared" si="1"/>
        <v>0</v>
      </c>
      <c r="E49" s="12">
        <f>SUM(E50)</f>
        <v>0</v>
      </c>
      <c r="F49" s="12">
        <f>SUM(F50)</f>
        <v>0</v>
      </c>
      <c r="G49" s="12">
        <f>SUM(G50)</f>
        <v>0</v>
      </c>
      <c r="H49" s="12">
        <f>SUM(H50)</f>
        <v>0</v>
      </c>
      <c r="I49" s="12">
        <f t="shared" ref="I49:V49" si="13">SUM(I50)</f>
        <v>0</v>
      </c>
      <c r="J49" s="12">
        <f t="shared" si="13"/>
        <v>0</v>
      </c>
      <c r="K49" s="12">
        <f t="shared" si="13"/>
        <v>0</v>
      </c>
      <c r="L49" s="12">
        <f>SUM(L50)</f>
        <v>0</v>
      </c>
      <c r="M49" s="12">
        <f t="shared" si="13"/>
        <v>0</v>
      </c>
      <c r="N49" s="12">
        <f t="shared" si="13"/>
        <v>0</v>
      </c>
      <c r="O49" s="12">
        <f t="shared" si="13"/>
        <v>0</v>
      </c>
      <c r="P49" s="12">
        <f>SUM(P50)</f>
        <v>0</v>
      </c>
      <c r="Q49" s="12">
        <f>SUM(Q50)</f>
        <v>0</v>
      </c>
      <c r="R49" s="12">
        <f>SUM(R50)</f>
        <v>0</v>
      </c>
      <c r="S49" s="12">
        <f t="shared" si="13"/>
        <v>0</v>
      </c>
      <c r="T49" s="12">
        <f t="shared" si="13"/>
        <v>0</v>
      </c>
      <c r="U49" s="12">
        <f t="shared" si="13"/>
        <v>0</v>
      </c>
      <c r="V49" s="12">
        <f t="shared" si="13"/>
        <v>0</v>
      </c>
      <c r="W49" s="12">
        <f>SUM(W50)</f>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345</v>
      </c>
      <c r="D50" s="14">
        <f t="shared" si="1"/>
        <v>0</v>
      </c>
      <c r="E50" s="140">
        <f>SUMIFS('Plan rashoda za unos u SAP'!$I$3:$I$501,'Plan rashoda za unos u SAP'!$C$3:$C$501,"=11",'Plan rashoda za unos u SAP'!$M$3:$M$501,"=431")+SUMIFS('ANALITIKA EU PROJEKATA'!$G$3:$G$501,'ANALITIKA EU PROJEKATA'!$A$3:$A$501,"=11",'ANALITIKA EU PROJEKATA'!$P$3:$P$501,"=431")</f>
        <v>0</v>
      </c>
      <c r="F50" s="140">
        <f>SUMIFS('Plan rashoda za unos u SAP'!$I$3:$I$501,'Plan rashoda za unos u SAP'!$C$3:$C$501,"=12",'Plan rashoda za unos u SAP'!$M$3:$M$501,"=431")+SUMIFS('ANALITIKA EU PROJEKATA'!$G$3:$G$501,'ANALITIKA EU PROJEKATA'!$A$3:$A$501,"=12",'ANALITIKA EU PROJEKATA'!$P$3:$P$501,"=431")</f>
        <v>0</v>
      </c>
      <c r="G50" s="140">
        <f>SUMIFS('Plan rashoda za unos u SAP'!$I$3:$I$501,'Plan rashoda za unos u SAP'!$C$3:$C$501,"=31",'Plan rashoda za unos u SAP'!$M$3:$M$501,"=431")+SUMIFS('ANALITIKA EU PROJEKATA'!$G$3:$G$501,'ANALITIKA EU PROJEKATA'!$A$3:$A$501,"=31",'ANALITIKA EU PROJEKATA'!$P$3:$P$501,"=431")</f>
        <v>0</v>
      </c>
      <c r="H50" s="140">
        <f>SUMIFS('Plan rashoda za unos u SAP'!$I$3:$I$501,'Plan rashoda za unos u SAP'!$C$3:$C$501,"=41",'Plan rashoda za unos u SAP'!$M$3:$M$501,"=431")+SUMIFS('ANALITIKA EU PROJEKATA'!$G$3:$G$501,'ANALITIKA EU PROJEKATA'!$A$3:$A$501,"=41",'ANALITIKA EU PROJEKATA'!$P$3:$P$501,"=431")</f>
        <v>0</v>
      </c>
      <c r="I50" s="140">
        <f>SUMIFS('Plan rashoda za unos u SAP'!$I$3:$I$501,'Plan rashoda za unos u SAP'!$C$3:$C$501,"=43",'Plan rashoda za unos u SAP'!$M$3:$M$501,"=431")+SUMIFS('ANALITIKA EU PROJEKATA'!$G$3:$G$501,'ANALITIKA EU PROJEKATA'!$A$3:$A$501,"=43",'ANALITIKA EU PROJEKATA'!$P$3:$P$501,"=431")</f>
        <v>0</v>
      </c>
      <c r="J50" s="140">
        <f>SUMIFS('Plan rashoda za unos u SAP'!$I$3:$I$501,'Plan rashoda za unos u SAP'!$C$3:$C$501,"=51",'Plan rashoda za unos u SAP'!$M$3:$M$501,"=431")+SUMIFS('ANALITIKA EU PROJEKATA'!$G$3:$G$501,'ANALITIKA EU PROJEKATA'!$A$3:$A$501,"=51",'ANALITIKA EU PROJEKATA'!$P$3:$P$501,"=431")</f>
        <v>0</v>
      </c>
      <c r="K50" s="140">
        <f>SUMIFS('Plan rashoda za unos u SAP'!$I$3:$I$501,'Plan rashoda za unos u SAP'!$C$3:$C$501,"=52",'Plan rashoda za unos u SAP'!$M$3:$M$501,"=431")+SUMIFS('ANALITIKA EU PROJEKATA'!$G$3:$G$501,'ANALITIKA EU PROJEKATA'!$A$3:$A$501,"=52",'ANALITIKA EU PROJEKATA'!$P$3:$P$501,"=431")</f>
        <v>0</v>
      </c>
      <c r="L50" s="140">
        <f>SUMIFS('Plan rashoda za unos u SAP'!$I$3:$I$501,'Plan rashoda za unos u SAP'!$C$3:$C$501,"=552",'Plan rashoda za unos u SAP'!$M$3:$M$501,"=431")+SUMIFS('ANALITIKA EU PROJEKATA'!$G$3:$G$501,'ANALITIKA EU PROJEKATA'!$A$3:$A$501,"=552",'ANALITIKA EU PROJEKATA'!$P$3:$P$501,"=431")</f>
        <v>0</v>
      </c>
      <c r="M50" s="140">
        <f>SUMIFS('Plan rashoda za unos u SAP'!$I$3:$I$501,'Plan rashoda za unos u SAP'!$C$3:$C$501,"=559",'Plan rashoda za unos u SAP'!$M$3:$M$501,"=431")+SUMIFS('ANALITIKA EU PROJEKATA'!$G$3:$G$501,'ANALITIKA EU PROJEKATA'!$A$3:$A$501,"=559",'ANALITIKA EU PROJEKATA'!$P$3:$P$501,"=431")</f>
        <v>0</v>
      </c>
      <c r="N50" s="140">
        <f>SUMIFS('Plan rashoda za unos u SAP'!$I$3:$I$501,'Plan rashoda za unos u SAP'!$C$3:$C$501,"=561",'Plan rashoda za unos u SAP'!$M$3:$M$501,"=431")+SUMIFS('ANALITIKA EU PROJEKATA'!$G$3:$G$501,'ANALITIKA EU PROJEKATA'!$A$3:$A$501,"=561",'ANALITIKA EU PROJEKATA'!$P$3:$P$501,"=431")</f>
        <v>0</v>
      </c>
      <c r="O50" s="140">
        <f>SUMIFS('Plan rashoda za unos u SAP'!$I$3:$I$501,'Plan rashoda za unos u SAP'!$C$3:$C$501,"=563",'Plan rashoda za unos u SAP'!$M$3:$M$501,"=431")+SUMIFS('ANALITIKA EU PROJEKATA'!$G$3:$G$501,'ANALITIKA EU PROJEKATA'!$A$3:$A$501,"=563",'ANALITIKA EU PROJEKATA'!$P$3:$P$501,"=431")</f>
        <v>0</v>
      </c>
      <c r="P50" s="140">
        <f>SUMIFS('Plan rashoda za unos u SAP'!$I$3:$I$501,'Plan rashoda za unos u SAP'!$C$3:$C$501,"=573",'Plan rashoda za unos u SAP'!$M$3:$M$501,"=431")+SUMIFS('ANALITIKA EU PROJEKATA'!$G$3:$G$501,'ANALITIKA EU PROJEKATA'!$A$3:$A$501,"=573",'ANALITIKA EU PROJEKATA'!$P$3:$P$501,"=431")</f>
        <v>0</v>
      </c>
      <c r="Q50" s="140">
        <f>SUMIFS('Plan rashoda za unos u SAP'!$I$3:$I$501,'Plan rashoda za unos u SAP'!$C$3:$C$501,"=575",'Plan rashoda za unos u SAP'!$M$3:$M$501,"=431")+SUMIFS('ANALITIKA EU PROJEKATA'!$G$3:$G$501,'ANALITIKA EU PROJEKATA'!$A$3:$A$501,"=575",'ANALITIKA EU PROJEKATA'!$P$3:$P$501,"=431")</f>
        <v>0</v>
      </c>
      <c r="R50" s="140">
        <f>SUMIFS('Plan rashoda za unos u SAP'!$I$3:$I$501,'Plan rashoda za unos u SAP'!$C$3:$C$501,"=576",'Plan rashoda za unos u SAP'!$M$3:$M$501,"=431")+SUMIFS('ANALITIKA EU PROJEKATA'!$G$3:$G$501,'ANALITIKA EU PROJEKATA'!$A$3:$A$501,"=576",'ANALITIKA EU PROJEKATA'!$P$3:$P$501,"=431")</f>
        <v>0</v>
      </c>
      <c r="S50" s="140">
        <f>SUMIFS('Plan rashoda za unos u SAP'!$I$3:$I$501,'Plan rashoda za unos u SAP'!$C$3:$C$501,"=61",'Plan rashoda za unos u SAP'!$M$3:$M$501,"=431")+SUMIFS('ANALITIKA EU PROJEKATA'!$G$3:$G$501,'ANALITIKA EU PROJEKATA'!$A$3:$A$501,"=61",'ANALITIKA EU PROJEKATA'!$P$3:$P$501,"=431")</f>
        <v>0</v>
      </c>
      <c r="T50" s="140">
        <f>SUMIFS('Plan rashoda za unos u SAP'!$I$3:$I$501,'Plan rashoda za unos u SAP'!$C$3:$C$501,"=63",'Plan rashoda za unos u SAP'!$M$3:$M$501,"=431")+SUMIFS('ANALITIKA EU PROJEKATA'!$G$3:$G$501,'ANALITIKA EU PROJEKATA'!$A$3:$A$501,"=63",'ANALITIKA EU PROJEKATA'!$P$3:$P$501,"=431")</f>
        <v>0</v>
      </c>
      <c r="U50" s="140">
        <f>SUMIFS('Plan rashoda za unos u SAP'!$I$3:$I$501,'Plan rashoda za unos u SAP'!$C$3:$C$501,"=71",'Plan rashoda za unos u SAP'!$M$3:$M$501,"=431")+SUMIFS('ANALITIKA EU PROJEKATA'!$G$3:$G$501,'ANALITIKA EU PROJEKATA'!$A$3:$A$501,"=71",'ANALITIKA EU PROJEKATA'!$P$3:$P$501,"=431")</f>
        <v>0</v>
      </c>
      <c r="V50" s="140">
        <f>SUMIFS('Plan rashoda za unos u SAP'!$I$3:$I$501,'Plan rashoda za unos u SAP'!$C$3:$C$501,"=81",'Plan rashoda za unos u SAP'!$M$3:$M$501,"=431")+SUMIFS('ANALITIKA EU PROJEKATA'!$G$3:$G$501,'ANALITIKA EU PROJEKATA'!$A$3:$A$501,"=81",'ANALITIKA EU PROJEKATA'!$P$3:$P$501,"=431")</f>
        <v>0</v>
      </c>
      <c r="W50" s="140">
        <f>SUMIFS('Plan rashoda za unos u SAP'!$I$3:$I$501,'Plan rashoda za unos u SAP'!$C$3:$C$501,"=83",'Plan rashoda za unos u SAP'!$M$3:$M$501,"=431")+SUMIFS('ANALITIKA EU PROJEKATA'!$G$3:$G$501,'ANALITIKA EU PROJEKATA'!$A$3:$A$501,"=83",'ANALITIKA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345</v>
      </c>
      <c r="D51" s="4">
        <f t="shared" si="1"/>
        <v>0</v>
      </c>
      <c r="E51" s="12">
        <f t="shared" ref="E51:W51" si="14">SUM(E52)</f>
        <v>0</v>
      </c>
      <c r="F51" s="12">
        <f t="shared" si="14"/>
        <v>0</v>
      </c>
      <c r="G51" s="12">
        <f t="shared" si="14"/>
        <v>0</v>
      </c>
      <c r="H51" s="12">
        <f t="shared" si="14"/>
        <v>0</v>
      </c>
      <c r="I51" s="12">
        <f t="shared" si="14"/>
        <v>0</v>
      </c>
      <c r="J51" s="12">
        <f t="shared" si="14"/>
        <v>0</v>
      </c>
      <c r="K51" s="12">
        <f t="shared" si="14"/>
        <v>0</v>
      </c>
      <c r="L51" s="12">
        <f t="shared" si="14"/>
        <v>0</v>
      </c>
      <c r="M51" s="12">
        <f t="shared" si="14"/>
        <v>0</v>
      </c>
      <c r="N51" s="12">
        <f t="shared" si="14"/>
        <v>0</v>
      </c>
      <c r="O51" s="12">
        <f t="shared" si="14"/>
        <v>0</v>
      </c>
      <c r="P51" s="12">
        <f t="shared" si="14"/>
        <v>0</v>
      </c>
      <c r="Q51" s="12">
        <f t="shared" si="14"/>
        <v>0</v>
      </c>
      <c r="R51" s="12">
        <f t="shared" si="14"/>
        <v>0</v>
      </c>
      <c r="S51" s="12">
        <f t="shared" si="14"/>
        <v>0</v>
      </c>
      <c r="T51" s="12">
        <f t="shared" si="14"/>
        <v>0</v>
      </c>
      <c r="U51" s="12">
        <f t="shared" si="14"/>
        <v>0</v>
      </c>
      <c r="V51" s="12">
        <f t="shared" si="14"/>
        <v>0</v>
      </c>
      <c r="W51" s="12">
        <f t="shared" si="14"/>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346</v>
      </c>
      <c r="D52" s="14">
        <f t="shared" si="1"/>
        <v>0</v>
      </c>
      <c r="E52" s="140">
        <f>SUMIFS('Plan rashoda za unos u SAP'!$I$3:$I$501,'Plan rashoda za unos u SAP'!$C$3:$C$501,"=11",'Plan rashoda za unos u SAP'!$M$3:$M$501,"=441")+SUMIFS('ANALITIKA EU PROJEKATA'!$G$3:$G$501,'ANALITIKA EU PROJEKATA'!$A$3:$A$501,"=11",'ANALITIKA EU PROJEKATA'!$P$3:$P$501,"=441")</f>
        <v>0</v>
      </c>
      <c r="F52" s="140">
        <f>SUMIFS('Plan rashoda za unos u SAP'!$I$3:$I$501,'Plan rashoda za unos u SAP'!$C$3:$C$501,"=12",'Plan rashoda za unos u SAP'!$M$3:$M$501,"=441")+SUMIFS('ANALITIKA EU PROJEKATA'!$G$3:$G$501,'ANALITIKA EU PROJEKATA'!$A$3:$A$501,"=12",'ANALITIKA EU PROJEKATA'!$P$3:$P$501,"=441")</f>
        <v>0</v>
      </c>
      <c r="G52" s="140">
        <f>SUMIFS('Plan rashoda za unos u SAP'!$I$3:$I$501,'Plan rashoda za unos u SAP'!$C$3:$C$501,"=31",'Plan rashoda za unos u SAP'!$M$3:$M$501,"=441")+SUMIFS('ANALITIKA EU PROJEKATA'!$G$3:$G$501,'ANALITIKA EU PROJEKATA'!$A$3:$A$501,"=31",'ANALITIKA EU PROJEKATA'!$P$3:$P$501,"=441")</f>
        <v>0</v>
      </c>
      <c r="H52" s="140">
        <f>SUMIFS('Plan rashoda za unos u SAP'!$I$3:$I$501,'Plan rashoda za unos u SAP'!$C$3:$C$501,"=41",'Plan rashoda za unos u SAP'!$M$3:$M$501,"=441")+SUMIFS('ANALITIKA EU PROJEKATA'!$G$3:$G$501,'ANALITIKA EU PROJEKATA'!$A$3:$A$501,"=41",'ANALITIKA EU PROJEKATA'!$P$3:$P$501,"=441")</f>
        <v>0</v>
      </c>
      <c r="I52" s="140">
        <f>SUMIFS('Plan rashoda za unos u SAP'!$I$3:$I$501,'Plan rashoda za unos u SAP'!$C$3:$C$501,"=43",'Plan rashoda za unos u SAP'!$M$3:$M$501,"=441")+SUMIFS('ANALITIKA EU PROJEKATA'!$G$3:$G$501,'ANALITIKA EU PROJEKATA'!$A$3:$A$501,"=43",'ANALITIKA EU PROJEKATA'!$P$3:$P$501,"=441")</f>
        <v>0</v>
      </c>
      <c r="J52" s="140">
        <f>SUMIFS('Plan rashoda za unos u SAP'!$I$3:$I$501,'Plan rashoda za unos u SAP'!$C$3:$C$501,"=51",'Plan rashoda za unos u SAP'!$M$3:$M$501,"=441")+SUMIFS('ANALITIKA EU PROJEKATA'!$G$3:$G$501,'ANALITIKA EU PROJEKATA'!$A$3:$A$501,"=51",'ANALITIKA EU PROJEKATA'!$P$3:$P$501,"=441")</f>
        <v>0</v>
      </c>
      <c r="K52" s="140">
        <f>SUMIFS('Plan rashoda za unos u SAP'!$I$3:$I$501,'Plan rashoda za unos u SAP'!$C$3:$C$501,"=52",'Plan rashoda za unos u SAP'!$M$3:$M$501,"=441")+SUMIFS('ANALITIKA EU PROJEKATA'!$G$3:$G$501,'ANALITIKA EU PROJEKATA'!$A$3:$A$501,"=52",'ANALITIKA EU PROJEKATA'!$P$3:$P$501,"=441")</f>
        <v>0</v>
      </c>
      <c r="L52" s="140">
        <f>SUMIFS('Plan rashoda za unos u SAP'!$I$3:$I$501,'Plan rashoda za unos u SAP'!$C$3:$C$501,"=552",'Plan rashoda za unos u SAP'!$M$3:$M$501,"=441")+SUMIFS('ANALITIKA EU PROJEKATA'!$G$3:$G$501,'ANALITIKA EU PROJEKATA'!$A$3:$A$501,"=552",'ANALITIKA EU PROJEKATA'!$P$3:$P$501,"=441")</f>
        <v>0</v>
      </c>
      <c r="M52" s="140">
        <f>SUMIFS('Plan rashoda za unos u SAP'!$I$3:$I$501,'Plan rashoda za unos u SAP'!$C$3:$C$501,"=559",'Plan rashoda za unos u SAP'!$M$3:$M$501,"=441")+SUMIFS('ANALITIKA EU PROJEKATA'!$G$3:$G$501,'ANALITIKA EU PROJEKATA'!$A$3:$A$501,"=559",'ANALITIKA EU PROJEKATA'!$P$3:$P$501,"=441")</f>
        <v>0</v>
      </c>
      <c r="N52" s="140">
        <f>SUMIFS('Plan rashoda za unos u SAP'!$I$3:$I$501,'Plan rashoda za unos u SAP'!$C$3:$C$501,"=561",'Plan rashoda za unos u SAP'!$M$3:$M$501,"=441")+SUMIFS('ANALITIKA EU PROJEKATA'!$G$3:$G$501,'ANALITIKA EU PROJEKATA'!$A$3:$A$501,"=561",'ANALITIKA EU PROJEKATA'!$P$3:$P$501,"=441")</f>
        <v>0</v>
      </c>
      <c r="O52" s="140">
        <f>SUMIFS('Plan rashoda za unos u SAP'!$I$3:$I$501,'Plan rashoda za unos u SAP'!$C$3:$C$501,"=563",'Plan rashoda za unos u SAP'!$M$3:$M$501,"=441")+SUMIFS('ANALITIKA EU PROJEKATA'!$G$3:$G$501,'ANALITIKA EU PROJEKATA'!$A$3:$A$501,"=563",'ANALITIKA EU PROJEKATA'!$P$3:$P$501,"=441")</f>
        <v>0</v>
      </c>
      <c r="P52" s="140">
        <f>SUMIFS('Plan rashoda za unos u SAP'!$I$3:$I$501,'Plan rashoda za unos u SAP'!$C$3:$C$501,"=573",'Plan rashoda za unos u SAP'!$M$3:$M$501,"=441")+SUMIFS('ANALITIKA EU PROJEKATA'!$G$3:$G$501,'ANALITIKA EU PROJEKATA'!$A$3:$A$501,"=573",'ANALITIKA EU PROJEKATA'!$P$3:$P$501,"=441")</f>
        <v>0</v>
      </c>
      <c r="Q52" s="140">
        <f>SUMIFS('Plan rashoda za unos u SAP'!$I$3:$I$501,'Plan rashoda za unos u SAP'!$C$3:$C$501,"=575",'Plan rashoda za unos u SAP'!$M$3:$M$501,"=441")+SUMIFS('ANALITIKA EU PROJEKATA'!$G$3:$G$501,'ANALITIKA EU PROJEKATA'!$A$3:$A$501,"=575",'ANALITIKA EU PROJEKATA'!$P$3:$P$501,"=441")</f>
        <v>0</v>
      </c>
      <c r="R52" s="140">
        <f>SUMIFS('Plan rashoda za unos u SAP'!$I$3:$I$501,'Plan rashoda za unos u SAP'!$C$3:$C$501,"=576",'Plan rashoda za unos u SAP'!$M$3:$M$501,"=441")+SUMIFS('ANALITIKA EU PROJEKATA'!$G$3:$G$501,'ANALITIKA EU PROJEKATA'!$A$3:$A$501,"=576",'ANALITIKA EU PROJEKATA'!$P$3:$P$501,"=441")</f>
        <v>0</v>
      </c>
      <c r="S52" s="140">
        <f>SUMIFS('Plan rashoda za unos u SAP'!$I$3:$I$501,'Plan rashoda za unos u SAP'!$C$3:$C$501,"=61",'Plan rashoda za unos u SAP'!$M$3:$M$501,"=441")+SUMIFS('ANALITIKA EU PROJEKATA'!$G$3:$G$501,'ANALITIKA EU PROJEKATA'!$A$3:$A$501,"=61",'ANALITIKA EU PROJEKATA'!$P$3:$P$501,"=441")</f>
        <v>0</v>
      </c>
      <c r="T52" s="140">
        <f>SUMIFS('Plan rashoda za unos u SAP'!$I$3:$I$501,'Plan rashoda za unos u SAP'!$C$3:$C$501,"=63",'Plan rashoda za unos u SAP'!$M$3:$M$501,"=441")+SUMIFS('ANALITIKA EU PROJEKATA'!$G$3:$G$501,'ANALITIKA EU PROJEKATA'!$A$3:$A$501,"=63",'ANALITIKA EU PROJEKATA'!$P$3:$P$501,"=441")</f>
        <v>0</v>
      </c>
      <c r="U52" s="140">
        <f>SUMIFS('Plan rashoda za unos u SAP'!$I$3:$I$501,'Plan rashoda za unos u SAP'!$C$3:$C$501,"=71",'Plan rashoda za unos u SAP'!$M$3:$M$501,"=441")+SUMIFS('ANALITIKA EU PROJEKATA'!$G$3:$G$501,'ANALITIKA EU PROJEKATA'!$A$3:$A$501,"=71",'ANALITIKA EU PROJEKATA'!$P$3:$P$501,"=441")</f>
        <v>0</v>
      </c>
      <c r="V52" s="140">
        <f>SUMIFS('Plan rashoda za unos u SAP'!$I$3:$I$501,'Plan rashoda za unos u SAP'!$C$3:$C$501,"=81",'Plan rashoda za unos u SAP'!$M$3:$M$501,"=441")+SUMIFS('ANALITIKA EU PROJEKATA'!$G$3:$G$501,'ANALITIKA EU PROJEKATA'!$A$3:$A$501,"=81",'ANALITIKA EU PROJEKATA'!$P$3:$P$501,"=441")</f>
        <v>0</v>
      </c>
      <c r="W52" s="140">
        <f>SUMIFS('Plan rashoda za unos u SAP'!$I$3:$I$501,'Plan rashoda za unos u SAP'!$C$3:$C$501,"=83",'Plan rashoda za unos u SAP'!$M$3:$M$501,"=441")+SUMIFS('ANALITIKA EU PROJEKATA'!$G$3:$G$501,'ANALITIKA EU PROJEKATA'!$A$3:$A$501,"=83",'ANALITIKA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222</v>
      </c>
      <c r="D53" s="4">
        <f t="shared" si="1"/>
        <v>0</v>
      </c>
      <c r="E53" s="4">
        <f t="shared" ref="E53:W53" si="15">SUM(E54:E57)</f>
        <v>0</v>
      </c>
      <c r="F53" s="4">
        <f t="shared" si="15"/>
        <v>0</v>
      </c>
      <c r="G53" s="4">
        <f t="shared" si="15"/>
        <v>0</v>
      </c>
      <c r="H53" s="4">
        <f>SUM(H54:H57)</f>
        <v>0</v>
      </c>
      <c r="I53" s="4">
        <f t="shared" si="15"/>
        <v>0</v>
      </c>
      <c r="J53" s="4">
        <f t="shared" si="15"/>
        <v>0</v>
      </c>
      <c r="K53" s="4">
        <f t="shared" si="15"/>
        <v>0</v>
      </c>
      <c r="L53" s="4">
        <f>SUM(L54:L57)</f>
        <v>0</v>
      </c>
      <c r="M53" s="4">
        <f t="shared" si="15"/>
        <v>0</v>
      </c>
      <c r="N53" s="4">
        <f t="shared" si="15"/>
        <v>0</v>
      </c>
      <c r="O53" s="4">
        <f t="shared" si="15"/>
        <v>0</v>
      </c>
      <c r="P53" s="4">
        <f>SUM(P54:P57)</f>
        <v>0</v>
      </c>
      <c r="Q53" s="4">
        <f>SUM(Q54:Q57)</f>
        <v>0</v>
      </c>
      <c r="R53" s="4">
        <f>SUM(R54:R57)</f>
        <v>0</v>
      </c>
      <c r="S53" s="4">
        <f t="shared" si="15"/>
        <v>0</v>
      </c>
      <c r="T53" s="4">
        <f t="shared" si="15"/>
        <v>0</v>
      </c>
      <c r="U53" s="4">
        <f t="shared" si="15"/>
        <v>0</v>
      </c>
      <c r="V53" s="4">
        <f t="shared" si="15"/>
        <v>0</v>
      </c>
      <c r="W53" s="4">
        <f t="shared" si="15"/>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128</v>
      </c>
      <c r="D54" s="14">
        <f t="shared" si="1"/>
        <v>0</v>
      </c>
      <c r="E54" s="140">
        <f>SUMIFS('Plan rashoda za unos u SAP'!$I$3:$I$501,'Plan rashoda za unos u SAP'!$C$3:$C$501,"=11",'Plan rashoda za unos u SAP'!$M$3:$M$501,"=451")+SUMIFS('ANALITIKA EU PROJEKATA'!$G$3:$G$501,'ANALITIKA EU PROJEKATA'!$A$3:$A$501,"=11",'ANALITIKA EU PROJEKATA'!$P$3:$P$501,"=451")</f>
        <v>0</v>
      </c>
      <c r="F54" s="140">
        <f>SUMIFS('Plan rashoda za unos u SAP'!$I$3:$I$501,'Plan rashoda za unos u SAP'!$C$3:$C$501,"=12",'Plan rashoda za unos u SAP'!$M$3:$M$501,"=451")+SUMIFS('ANALITIKA EU PROJEKATA'!$G$3:$G$501,'ANALITIKA EU PROJEKATA'!$A$3:$A$501,"=12",'ANALITIKA EU PROJEKATA'!$P$3:$P$501,"=451")</f>
        <v>0</v>
      </c>
      <c r="G54" s="140">
        <f>SUMIFS('Plan rashoda za unos u SAP'!$I$3:$I$501,'Plan rashoda za unos u SAP'!$C$3:$C$501,"=31",'Plan rashoda za unos u SAP'!$M$3:$M$501,"=451")+SUMIFS('ANALITIKA EU PROJEKATA'!$G$3:$G$501,'ANALITIKA EU PROJEKATA'!$A$3:$A$501,"=31",'ANALITIKA EU PROJEKATA'!$P$3:$P$501,"=451")</f>
        <v>0</v>
      </c>
      <c r="H54" s="140">
        <f>SUMIFS('Plan rashoda za unos u SAP'!$I$3:$I$501,'Plan rashoda za unos u SAP'!$C$3:$C$501,"=41",'Plan rashoda za unos u SAP'!$M$3:$M$501,"=451")+SUMIFS('ANALITIKA EU PROJEKATA'!$G$3:$G$501,'ANALITIKA EU PROJEKATA'!$A$3:$A$501,"=41",'ANALITIKA EU PROJEKATA'!$P$3:$P$501,"=451")</f>
        <v>0</v>
      </c>
      <c r="I54" s="140">
        <f>SUMIFS('Plan rashoda za unos u SAP'!$I$3:$I$501,'Plan rashoda za unos u SAP'!$C$3:$C$501,"=43",'Plan rashoda za unos u SAP'!$M$3:$M$501,"=451")+SUMIFS('ANALITIKA EU PROJEKATA'!$G$3:$G$501,'ANALITIKA EU PROJEKATA'!$A$3:$A$501,"=43",'ANALITIKA EU PROJEKATA'!$P$3:$P$501,"=451")</f>
        <v>0</v>
      </c>
      <c r="J54" s="140">
        <f>SUMIFS('Plan rashoda za unos u SAP'!$I$3:$I$501,'Plan rashoda za unos u SAP'!$C$3:$C$501,"=51",'Plan rashoda za unos u SAP'!$M$3:$M$501,"=451")+SUMIFS('ANALITIKA EU PROJEKATA'!$G$3:$G$501,'ANALITIKA EU PROJEKATA'!$A$3:$A$501,"=51",'ANALITIKA EU PROJEKATA'!$P$3:$P$501,"=451")</f>
        <v>0</v>
      </c>
      <c r="K54" s="140">
        <f>SUMIFS('Plan rashoda za unos u SAP'!$I$3:$I$501,'Plan rashoda za unos u SAP'!$C$3:$C$501,"=52",'Plan rashoda za unos u SAP'!$M$3:$M$501,"=451")+SUMIFS('ANALITIKA EU PROJEKATA'!$G$3:$G$501,'ANALITIKA EU PROJEKATA'!$A$3:$A$501,"=52",'ANALITIKA EU PROJEKATA'!$P$3:$P$501,"=451")</f>
        <v>0</v>
      </c>
      <c r="L54" s="140">
        <f>SUMIFS('Plan rashoda za unos u SAP'!$I$3:$I$501,'Plan rashoda za unos u SAP'!$C$3:$C$501,"=552",'Plan rashoda za unos u SAP'!$M$3:$M$501,"=451")+SUMIFS('ANALITIKA EU PROJEKATA'!$G$3:$G$501,'ANALITIKA EU PROJEKATA'!$A$3:$A$501,"=552",'ANALITIKA EU PROJEKATA'!$P$3:$P$501,"=451")</f>
        <v>0</v>
      </c>
      <c r="M54" s="140">
        <f>SUMIFS('Plan rashoda za unos u SAP'!$I$3:$I$501,'Plan rashoda za unos u SAP'!$C$3:$C$501,"=559",'Plan rashoda za unos u SAP'!$M$3:$M$501,"=451")+SUMIFS('ANALITIKA EU PROJEKATA'!$G$3:$G$501,'ANALITIKA EU PROJEKATA'!$A$3:$A$501,"=559",'ANALITIKA EU PROJEKATA'!$P$3:$P$501,"=451")</f>
        <v>0</v>
      </c>
      <c r="N54" s="140">
        <f>SUMIFS('Plan rashoda za unos u SAP'!$I$3:$I$501,'Plan rashoda za unos u SAP'!$C$3:$C$501,"=561",'Plan rashoda za unos u SAP'!$M$3:$M$501,"=451")+SUMIFS('ANALITIKA EU PROJEKATA'!$G$3:$G$501,'ANALITIKA EU PROJEKATA'!$A$3:$A$501,"=561",'ANALITIKA EU PROJEKATA'!$P$3:$P$501,"=451")</f>
        <v>0</v>
      </c>
      <c r="O54" s="140">
        <f>SUMIFS('Plan rashoda za unos u SAP'!$I$3:$I$501,'Plan rashoda za unos u SAP'!$C$3:$C$501,"=563",'Plan rashoda za unos u SAP'!$M$3:$M$501,"=451")+SUMIFS('ANALITIKA EU PROJEKATA'!$G$3:$G$501,'ANALITIKA EU PROJEKATA'!$A$3:$A$501,"=563",'ANALITIKA EU PROJEKATA'!$P$3:$P$501,"=451")</f>
        <v>0</v>
      </c>
      <c r="P54" s="140">
        <f>SUMIFS('Plan rashoda za unos u SAP'!$I$3:$I$501,'Plan rashoda za unos u SAP'!$C$3:$C$501,"=573",'Plan rashoda za unos u SAP'!$M$3:$M$501,"=451")+SUMIFS('ANALITIKA EU PROJEKATA'!$G$3:$G$501,'ANALITIKA EU PROJEKATA'!$A$3:$A$501,"=573",'ANALITIKA EU PROJEKATA'!$P$3:$P$501,"=451")</f>
        <v>0</v>
      </c>
      <c r="Q54" s="140">
        <f>SUMIFS('Plan rashoda za unos u SAP'!$I$3:$I$501,'Plan rashoda za unos u SAP'!$C$3:$C$501,"=575",'Plan rashoda za unos u SAP'!$M$3:$M$501,"=451")+SUMIFS('ANALITIKA EU PROJEKATA'!$G$3:$G$501,'ANALITIKA EU PROJEKATA'!$A$3:$A$501,"=575",'ANALITIKA EU PROJEKATA'!$P$3:$P$501,"=451")</f>
        <v>0</v>
      </c>
      <c r="R54" s="140">
        <f>SUMIFS('Plan rashoda za unos u SAP'!$I$3:$I$501,'Plan rashoda za unos u SAP'!$C$3:$C$501,"=576",'Plan rashoda za unos u SAP'!$M$3:$M$501,"=451")+SUMIFS('ANALITIKA EU PROJEKATA'!$G$3:$G$501,'ANALITIKA EU PROJEKATA'!$A$3:$A$501,"=576",'ANALITIKA EU PROJEKATA'!$P$3:$P$501,"=451")</f>
        <v>0</v>
      </c>
      <c r="S54" s="140">
        <f>SUMIFS('Plan rashoda za unos u SAP'!$I$3:$I$501,'Plan rashoda za unos u SAP'!$C$3:$C$501,"=61",'Plan rashoda za unos u SAP'!$M$3:$M$501,"=451")+SUMIFS('ANALITIKA EU PROJEKATA'!$G$3:$G$501,'ANALITIKA EU PROJEKATA'!$A$3:$A$501,"=61",'ANALITIKA EU PROJEKATA'!$P$3:$P$501,"=451")</f>
        <v>0</v>
      </c>
      <c r="T54" s="140">
        <f>SUMIFS('Plan rashoda za unos u SAP'!$I$3:$I$501,'Plan rashoda za unos u SAP'!$C$3:$C$501,"=63",'Plan rashoda za unos u SAP'!$M$3:$M$501,"=451")+SUMIFS('ANALITIKA EU PROJEKATA'!$G$3:$G$501,'ANALITIKA EU PROJEKATA'!$A$3:$A$501,"=63",'ANALITIKA EU PROJEKATA'!$P$3:$P$501,"=451")</f>
        <v>0</v>
      </c>
      <c r="U54" s="140">
        <f>SUMIFS('Plan rashoda za unos u SAP'!$I$3:$I$501,'Plan rashoda za unos u SAP'!$C$3:$C$501,"=71",'Plan rashoda za unos u SAP'!$M$3:$M$501,"=451")+SUMIFS('ANALITIKA EU PROJEKATA'!$G$3:$G$501,'ANALITIKA EU PROJEKATA'!$A$3:$A$501,"=71",'ANALITIKA EU PROJEKATA'!$P$3:$P$501,"=451")</f>
        <v>0</v>
      </c>
      <c r="V54" s="140">
        <f>SUMIFS('Plan rashoda za unos u SAP'!$I$3:$I$501,'Plan rashoda za unos u SAP'!$C$3:$C$501,"=81",'Plan rashoda za unos u SAP'!$M$3:$M$501,"=451")+SUMIFS('ANALITIKA EU PROJEKATA'!$G$3:$G$501,'ANALITIKA EU PROJEKATA'!$A$3:$A$501,"=81",'ANALITIKA EU PROJEKATA'!$P$3:$P$501,"=451")</f>
        <v>0</v>
      </c>
      <c r="W54" s="140">
        <f>SUMIFS('Plan rashoda za unos u SAP'!$I$3:$I$501,'Plan rashoda za unos u SAP'!$C$3:$C$501,"=83",'Plan rashoda za unos u SAP'!$M$3:$M$501,"=451")+SUMIFS('ANALITIKA EU PROJEKATA'!$G$3:$G$501,'ANALITIKA EU PROJEKATA'!$A$3:$A$501,"=83",'ANALITIKA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147</v>
      </c>
      <c r="D55" s="14">
        <f t="shared" si="1"/>
        <v>0</v>
      </c>
      <c r="E55" s="140">
        <f>SUMIFS('Plan rashoda za unos u SAP'!$I$3:$I$501,'Plan rashoda za unos u SAP'!$C$3:$C$501,"=11",'Plan rashoda za unos u SAP'!$M$3:$M$501,"=452")+SUMIFS('ANALITIKA EU PROJEKATA'!$G$3:$G$501,'ANALITIKA EU PROJEKATA'!$A$3:$A$501,"=11",'ANALITIKA EU PROJEKATA'!$P$3:$P$501,"=452")</f>
        <v>0</v>
      </c>
      <c r="F55" s="140">
        <f>SUMIFS('Plan rashoda za unos u SAP'!$I$3:$I$501,'Plan rashoda za unos u SAP'!$C$3:$C$501,"=12",'Plan rashoda za unos u SAP'!$M$3:$M$501,"=452")+SUMIFS('ANALITIKA EU PROJEKATA'!$G$3:$G$501,'ANALITIKA EU PROJEKATA'!$A$3:$A$501,"=12",'ANALITIKA EU PROJEKATA'!$P$3:$P$501,"=452")</f>
        <v>0</v>
      </c>
      <c r="G55" s="140">
        <f>SUMIFS('Plan rashoda za unos u SAP'!$I$3:$I$501,'Plan rashoda za unos u SAP'!$C$3:$C$501,"=31",'Plan rashoda za unos u SAP'!$M$3:$M$501,"=452")+SUMIFS('ANALITIKA EU PROJEKATA'!$G$3:$G$501,'ANALITIKA EU PROJEKATA'!$A$3:$A$501,"=31",'ANALITIKA EU PROJEKATA'!$P$3:$P$501,"=452")</f>
        <v>0</v>
      </c>
      <c r="H55" s="140">
        <f>SUMIFS('Plan rashoda za unos u SAP'!$I$3:$I$501,'Plan rashoda za unos u SAP'!$C$3:$C$501,"=41",'Plan rashoda za unos u SAP'!$M$3:$M$501,"=452")+SUMIFS('ANALITIKA EU PROJEKATA'!$G$3:$G$501,'ANALITIKA EU PROJEKATA'!$A$3:$A$501,"=41",'ANALITIKA EU PROJEKATA'!$P$3:$P$501,"=452")</f>
        <v>0</v>
      </c>
      <c r="I55" s="140">
        <f>SUMIFS('Plan rashoda za unos u SAP'!$I$3:$I$501,'Plan rashoda za unos u SAP'!$C$3:$C$501,"=43",'Plan rashoda za unos u SAP'!$M$3:$M$501,"=452")+SUMIFS('ANALITIKA EU PROJEKATA'!$G$3:$G$501,'ANALITIKA EU PROJEKATA'!$A$3:$A$501,"=43",'ANALITIKA EU PROJEKATA'!$P$3:$P$501,"=452")</f>
        <v>0</v>
      </c>
      <c r="J55" s="140">
        <f>SUMIFS('Plan rashoda za unos u SAP'!$I$3:$I$501,'Plan rashoda za unos u SAP'!$C$3:$C$501,"=51",'Plan rashoda za unos u SAP'!$M$3:$M$501,"=452")+SUMIFS('ANALITIKA EU PROJEKATA'!$G$3:$G$501,'ANALITIKA EU PROJEKATA'!$A$3:$A$501,"=51",'ANALITIKA EU PROJEKATA'!$P$3:$P$501,"=452")</f>
        <v>0</v>
      </c>
      <c r="K55" s="140">
        <f>SUMIFS('Plan rashoda za unos u SAP'!$I$3:$I$501,'Plan rashoda za unos u SAP'!$C$3:$C$501,"=52",'Plan rashoda za unos u SAP'!$M$3:$M$501,"=452")+SUMIFS('ANALITIKA EU PROJEKATA'!$G$3:$G$501,'ANALITIKA EU PROJEKATA'!$A$3:$A$501,"=52",'ANALITIKA EU PROJEKATA'!$P$3:$P$501,"=452")</f>
        <v>0</v>
      </c>
      <c r="L55" s="140">
        <f>SUMIFS('Plan rashoda za unos u SAP'!$I$3:$I$501,'Plan rashoda za unos u SAP'!$C$3:$C$501,"=552",'Plan rashoda za unos u SAP'!$M$3:$M$501,"=452")+SUMIFS('ANALITIKA EU PROJEKATA'!$G$3:$G$501,'ANALITIKA EU PROJEKATA'!$A$3:$A$501,"=552",'ANALITIKA EU PROJEKATA'!$P$3:$P$501,"=452")</f>
        <v>0</v>
      </c>
      <c r="M55" s="140">
        <f>SUMIFS('Plan rashoda za unos u SAP'!$I$3:$I$501,'Plan rashoda za unos u SAP'!$C$3:$C$501,"=559",'Plan rashoda za unos u SAP'!$M$3:$M$501,"=452")+SUMIFS('ANALITIKA EU PROJEKATA'!$G$3:$G$501,'ANALITIKA EU PROJEKATA'!$A$3:$A$501,"=559",'ANALITIKA EU PROJEKATA'!$P$3:$P$501,"=452")</f>
        <v>0</v>
      </c>
      <c r="N55" s="140">
        <f>SUMIFS('Plan rashoda za unos u SAP'!$I$3:$I$501,'Plan rashoda za unos u SAP'!$C$3:$C$501,"=561",'Plan rashoda za unos u SAP'!$M$3:$M$501,"=452")+SUMIFS('ANALITIKA EU PROJEKATA'!$G$3:$G$501,'ANALITIKA EU PROJEKATA'!$A$3:$A$501,"=561",'ANALITIKA EU PROJEKATA'!$P$3:$P$501,"=452")</f>
        <v>0</v>
      </c>
      <c r="O55" s="140">
        <f>SUMIFS('Plan rashoda za unos u SAP'!$I$3:$I$501,'Plan rashoda za unos u SAP'!$C$3:$C$501,"=563",'Plan rashoda za unos u SAP'!$M$3:$M$501,"=452")+SUMIFS('ANALITIKA EU PROJEKATA'!$G$3:$G$501,'ANALITIKA EU PROJEKATA'!$A$3:$A$501,"=563",'ANALITIKA EU PROJEKATA'!$P$3:$P$501,"=452")</f>
        <v>0</v>
      </c>
      <c r="P55" s="140">
        <f>SUMIFS('Plan rashoda za unos u SAP'!$I$3:$I$501,'Plan rashoda za unos u SAP'!$C$3:$C$501,"=573",'Plan rashoda za unos u SAP'!$M$3:$M$501,"=452")+SUMIFS('ANALITIKA EU PROJEKATA'!$G$3:$G$501,'ANALITIKA EU PROJEKATA'!$A$3:$A$501,"=573",'ANALITIKA EU PROJEKATA'!$P$3:$P$501,"=452")</f>
        <v>0</v>
      </c>
      <c r="Q55" s="140">
        <f>SUMIFS('Plan rashoda za unos u SAP'!$I$3:$I$501,'Plan rashoda za unos u SAP'!$C$3:$C$501,"=575",'Plan rashoda za unos u SAP'!$M$3:$M$501,"=452")+SUMIFS('ANALITIKA EU PROJEKATA'!$G$3:$G$501,'ANALITIKA EU PROJEKATA'!$A$3:$A$501,"=575",'ANALITIKA EU PROJEKATA'!$P$3:$P$501,"=452")</f>
        <v>0</v>
      </c>
      <c r="R55" s="140">
        <f>SUMIFS('Plan rashoda za unos u SAP'!$I$3:$I$501,'Plan rashoda za unos u SAP'!$C$3:$C$501,"=576",'Plan rashoda za unos u SAP'!$M$3:$M$501,"=452")+SUMIFS('ANALITIKA EU PROJEKATA'!$G$3:$G$501,'ANALITIKA EU PROJEKATA'!$A$3:$A$501,"=576",'ANALITIKA EU PROJEKATA'!$P$3:$P$501,"=452")</f>
        <v>0</v>
      </c>
      <c r="S55" s="140">
        <f>SUMIFS('Plan rashoda za unos u SAP'!$I$3:$I$501,'Plan rashoda za unos u SAP'!$C$3:$C$501,"=61",'Plan rashoda za unos u SAP'!$M$3:$M$501,"=452")+SUMIFS('ANALITIKA EU PROJEKATA'!$G$3:$G$501,'ANALITIKA EU PROJEKATA'!$A$3:$A$501,"=61",'ANALITIKA EU PROJEKATA'!$P$3:$P$501,"=452")</f>
        <v>0</v>
      </c>
      <c r="T55" s="140">
        <f>SUMIFS('Plan rashoda za unos u SAP'!$I$3:$I$501,'Plan rashoda za unos u SAP'!$C$3:$C$501,"=63",'Plan rashoda za unos u SAP'!$M$3:$M$501,"=452")+SUMIFS('ANALITIKA EU PROJEKATA'!$G$3:$G$501,'ANALITIKA EU PROJEKATA'!$A$3:$A$501,"=63",'ANALITIKA EU PROJEKATA'!$P$3:$P$501,"=452")</f>
        <v>0</v>
      </c>
      <c r="U55" s="140">
        <f>SUMIFS('Plan rashoda za unos u SAP'!$I$3:$I$501,'Plan rashoda za unos u SAP'!$C$3:$C$501,"=71",'Plan rashoda za unos u SAP'!$M$3:$M$501,"=452")+SUMIFS('ANALITIKA EU PROJEKATA'!$G$3:$G$501,'ANALITIKA EU PROJEKATA'!$A$3:$A$501,"=71",'ANALITIKA EU PROJEKATA'!$P$3:$P$501,"=452")</f>
        <v>0</v>
      </c>
      <c r="V55" s="140">
        <f>SUMIFS('Plan rashoda za unos u SAP'!$I$3:$I$501,'Plan rashoda za unos u SAP'!$C$3:$C$501,"=81",'Plan rashoda za unos u SAP'!$M$3:$M$501,"=452")+SUMIFS('ANALITIKA EU PROJEKATA'!$G$3:$G$501,'ANALITIKA EU PROJEKATA'!$A$3:$A$501,"=81",'ANALITIKA EU PROJEKATA'!$P$3:$P$501,"=452")</f>
        <v>0</v>
      </c>
      <c r="W55" s="140">
        <f>SUMIFS('Plan rashoda za unos u SAP'!$I$3:$I$501,'Plan rashoda za unos u SAP'!$C$3:$C$501,"=83",'Plan rashoda za unos u SAP'!$M$3:$M$501,"=452")+SUMIFS('ANALITIKA EU PROJEKATA'!$G$3:$G$501,'ANALITIKA EU PROJEKATA'!$A$3:$A$501,"=83",'ANALITIKA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190</v>
      </c>
      <c r="D56" s="14">
        <f t="shared" si="1"/>
        <v>0</v>
      </c>
      <c r="E56" s="140">
        <f>SUMIFS('Plan rashoda za unos u SAP'!$I$3:$I$501,'Plan rashoda za unos u SAP'!$C$3:$C$501,"=11",'Plan rashoda za unos u SAP'!$M$3:$M$501,"=453")+SUMIFS('ANALITIKA EU PROJEKATA'!$G$3:$G$501,'ANALITIKA EU PROJEKATA'!$A$3:$A$501,"=11",'ANALITIKA EU PROJEKATA'!$P$3:$P$501,"=453")</f>
        <v>0</v>
      </c>
      <c r="F56" s="140">
        <f>SUMIFS('Plan rashoda za unos u SAP'!$I$3:$I$501,'Plan rashoda za unos u SAP'!$C$3:$C$501,"=12",'Plan rashoda za unos u SAP'!$M$3:$M$501,"=453")+SUMIFS('ANALITIKA EU PROJEKATA'!$G$3:$G$501,'ANALITIKA EU PROJEKATA'!$A$3:$A$501,"=12",'ANALITIKA EU PROJEKATA'!$P$3:$P$501,"=453")</f>
        <v>0</v>
      </c>
      <c r="G56" s="140">
        <f>SUMIFS('Plan rashoda za unos u SAP'!$I$3:$I$501,'Plan rashoda za unos u SAP'!$C$3:$C$501,"=31",'Plan rashoda za unos u SAP'!$M$3:$M$501,"=453")+SUMIFS('ANALITIKA EU PROJEKATA'!$G$3:$G$501,'ANALITIKA EU PROJEKATA'!$A$3:$A$501,"=31",'ANALITIKA EU PROJEKATA'!$P$3:$P$501,"=453")</f>
        <v>0</v>
      </c>
      <c r="H56" s="140">
        <f>SUMIFS('Plan rashoda za unos u SAP'!$I$3:$I$501,'Plan rashoda za unos u SAP'!$C$3:$C$501,"=41",'Plan rashoda za unos u SAP'!$M$3:$M$501,"=453")+SUMIFS('ANALITIKA EU PROJEKATA'!$G$3:$G$501,'ANALITIKA EU PROJEKATA'!$A$3:$A$501,"=41",'ANALITIKA EU PROJEKATA'!$P$3:$P$501,"=453")</f>
        <v>0</v>
      </c>
      <c r="I56" s="140">
        <f>SUMIFS('Plan rashoda za unos u SAP'!$I$3:$I$501,'Plan rashoda za unos u SAP'!$C$3:$C$501,"=43",'Plan rashoda za unos u SAP'!$M$3:$M$501,"=453")+SUMIFS('ANALITIKA EU PROJEKATA'!$G$3:$G$501,'ANALITIKA EU PROJEKATA'!$A$3:$A$501,"=43",'ANALITIKA EU PROJEKATA'!$P$3:$P$501,"=453")</f>
        <v>0</v>
      </c>
      <c r="J56" s="140">
        <f>SUMIFS('Plan rashoda za unos u SAP'!$I$3:$I$501,'Plan rashoda za unos u SAP'!$C$3:$C$501,"=51",'Plan rashoda za unos u SAP'!$M$3:$M$501,"=453")+SUMIFS('ANALITIKA EU PROJEKATA'!$G$3:$G$501,'ANALITIKA EU PROJEKATA'!$A$3:$A$501,"=51",'ANALITIKA EU PROJEKATA'!$P$3:$P$501,"=453")</f>
        <v>0</v>
      </c>
      <c r="K56" s="140">
        <f>SUMIFS('Plan rashoda za unos u SAP'!$I$3:$I$501,'Plan rashoda za unos u SAP'!$C$3:$C$501,"=52",'Plan rashoda za unos u SAP'!$M$3:$M$501,"=453")+SUMIFS('ANALITIKA EU PROJEKATA'!$G$3:$G$501,'ANALITIKA EU PROJEKATA'!$A$3:$A$501,"=52",'ANALITIKA EU PROJEKATA'!$P$3:$P$501,"=453")</f>
        <v>0</v>
      </c>
      <c r="L56" s="140">
        <f>SUMIFS('Plan rashoda za unos u SAP'!$I$3:$I$501,'Plan rashoda za unos u SAP'!$C$3:$C$501,"=552",'Plan rashoda za unos u SAP'!$M$3:$M$501,"=453")+SUMIFS('ANALITIKA EU PROJEKATA'!$G$3:$G$501,'ANALITIKA EU PROJEKATA'!$A$3:$A$501,"=552",'ANALITIKA EU PROJEKATA'!$P$3:$P$501,"=453")</f>
        <v>0</v>
      </c>
      <c r="M56" s="140">
        <f>SUMIFS('Plan rashoda za unos u SAP'!$I$3:$I$501,'Plan rashoda za unos u SAP'!$C$3:$C$501,"=559",'Plan rashoda za unos u SAP'!$M$3:$M$501,"=453")+SUMIFS('ANALITIKA EU PROJEKATA'!$G$3:$G$501,'ANALITIKA EU PROJEKATA'!$A$3:$A$501,"=559",'ANALITIKA EU PROJEKATA'!$P$3:$P$501,"=453")</f>
        <v>0</v>
      </c>
      <c r="N56" s="140">
        <f>SUMIFS('Plan rashoda za unos u SAP'!$I$3:$I$501,'Plan rashoda za unos u SAP'!$C$3:$C$501,"=561",'Plan rashoda za unos u SAP'!$M$3:$M$501,"=453")+SUMIFS('ANALITIKA EU PROJEKATA'!$G$3:$G$501,'ANALITIKA EU PROJEKATA'!$A$3:$A$501,"=561",'ANALITIKA EU PROJEKATA'!$P$3:$P$501,"=453")</f>
        <v>0</v>
      </c>
      <c r="O56" s="140">
        <f>SUMIFS('Plan rashoda za unos u SAP'!$I$3:$I$501,'Plan rashoda za unos u SAP'!$C$3:$C$501,"=563",'Plan rashoda za unos u SAP'!$M$3:$M$501,"=453")+SUMIFS('ANALITIKA EU PROJEKATA'!$G$3:$G$501,'ANALITIKA EU PROJEKATA'!$A$3:$A$501,"=563",'ANALITIKA EU PROJEKATA'!$P$3:$P$501,"=453")</f>
        <v>0</v>
      </c>
      <c r="P56" s="140">
        <f>SUMIFS('Plan rashoda za unos u SAP'!$I$3:$I$501,'Plan rashoda za unos u SAP'!$C$3:$C$501,"=573",'Plan rashoda za unos u SAP'!$M$3:$M$501,"=453")+SUMIFS('ANALITIKA EU PROJEKATA'!$G$3:$G$501,'ANALITIKA EU PROJEKATA'!$A$3:$A$501,"=573",'ANALITIKA EU PROJEKATA'!$P$3:$P$501,"=453")</f>
        <v>0</v>
      </c>
      <c r="Q56" s="140">
        <f>SUMIFS('Plan rashoda za unos u SAP'!$I$3:$I$501,'Plan rashoda za unos u SAP'!$C$3:$C$501,"=575",'Plan rashoda za unos u SAP'!$M$3:$M$501,"=453")+SUMIFS('ANALITIKA EU PROJEKATA'!$G$3:$G$501,'ANALITIKA EU PROJEKATA'!$A$3:$A$501,"=575",'ANALITIKA EU PROJEKATA'!$P$3:$P$501,"=453")</f>
        <v>0</v>
      </c>
      <c r="R56" s="140">
        <f>SUMIFS('Plan rashoda za unos u SAP'!$I$3:$I$501,'Plan rashoda za unos u SAP'!$C$3:$C$501,"=576",'Plan rashoda za unos u SAP'!$M$3:$M$501,"=453")+SUMIFS('ANALITIKA EU PROJEKATA'!$G$3:$G$501,'ANALITIKA EU PROJEKATA'!$A$3:$A$501,"=576",'ANALITIKA EU PROJEKATA'!$P$3:$P$501,"=453")</f>
        <v>0</v>
      </c>
      <c r="S56" s="140">
        <f>SUMIFS('Plan rashoda za unos u SAP'!$I$3:$I$501,'Plan rashoda za unos u SAP'!$C$3:$C$501,"=61",'Plan rashoda za unos u SAP'!$M$3:$M$501,"=453")+SUMIFS('ANALITIKA EU PROJEKATA'!$G$3:$G$501,'ANALITIKA EU PROJEKATA'!$A$3:$A$501,"=61",'ANALITIKA EU PROJEKATA'!$P$3:$P$501,"=453")</f>
        <v>0</v>
      </c>
      <c r="T56" s="140">
        <f>SUMIFS('Plan rashoda za unos u SAP'!$I$3:$I$501,'Plan rashoda za unos u SAP'!$C$3:$C$501,"=63",'Plan rashoda za unos u SAP'!$M$3:$M$501,"=453")+SUMIFS('ANALITIKA EU PROJEKATA'!$G$3:$G$501,'ANALITIKA EU PROJEKATA'!$A$3:$A$501,"=63",'ANALITIKA EU PROJEKATA'!$P$3:$P$501,"=453")</f>
        <v>0</v>
      </c>
      <c r="U56" s="140">
        <f>SUMIFS('Plan rashoda za unos u SAP'!$I$3:$I$501,'Plan rashoda za unos u SAP'!$C$3:$C$501,"=71",'Plan rashoda za unos u SAP'!$M$3:$M$501,"=453")+SUMIFS('ANALITIKA EU PROJEKATA'!$G$3:$G$501,'ANALITIKA EU PROJEKATA'!$A$3:$A$501,"=71",'ANALITIKA EU PROJEKATA'!$P$3:$P$501,"=453")</f>
        <v>0</v>
      </c>
      <c r="V56" s="140">
        <f>SUMIFS('Plan rashoda za unos u SAP'!$I$3:$I$501,'Plan rashoda za unos u SAP'!$C$3:$C$501,"=81",'Plan rashoda za unos u SAP'!$M$3:$M$501,"=453")+SUMIFS('ANALITIKA EU PROJEKATA'!$G$3:$G$501,'ANALITIKA EU PROJEKATA'!$A$3:$A$501,"=81",'ANALITIKA EU PROJEKATA'!$P$3:$P$501,"=453")</f>
        <v>0</v>
      </c>
      <c r="W56" s="140">
        <f>SUMIFS('Plan rashoda za unos u SAP'!$I$3:$I$501,'Plan rashoda za unos u SAP'!$C$3:$C$501,"=83",'Plan rashoda za unos u SAP'!$M$3:$M$501,"=453")+SUMIFS('ANALITIKA EU PROJEKATA'!$G$3:$G$501,'ANALITIKA EU PROJEKATA'!$A$3:$A$501,"=83",'ANALITIKA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142</v>
      </c>
      <c r="D57" s="14">
        <f t="shared" si="1"/>
        <v>0</v>
      </c>
      <c r="E57" s="140">
        <f>SUMIFS('Plan rashoda za unos u SAP'!$I$3:$I$501,'Plan rashoda za unos u SAP'!$C$3:$C$501,"=11",'Plan rashoda za unos u SAP'!$M$3:$M$501,"=454")+SUMIFS('ANALITIKA EU PROJEKATA'!$G$3:$G$501,'ANALITIKA EU PROJEKATA'!$A$3:$A$501,"=11",'ANALITIKA EU PROJEKATA'!$P$3:$P$501,"=454")</f>
        <v>0</v>
      </c>
      <c r="F57" s="140">
        <f>SUMIFS('Plan rashoda za unos u SAP'!$I$3:$I$501,'Plan rashoda za unos u SAP'!$C$3:$C$501,"=12",'Plan rashoda za unos u SAP'!$M$3:$M$501,"=454")+SUMIFS('ANALITIKA EU PROJEKATA'!$G$3:$G$501,'ANALITIKA EU PROJEKATA'!$A$3:$A$501,"=12",'ANALITIKA EU PROJEKATA'!$P$3:$P$501,"=454")</f>
        <v>0</v>
      </c>
      <c r="G57" s="140">
        <f>SUMIFS('Plan rashoda za unos u SAP'!$I$3:$I$501,'Plan rashoda za unos u SAP'!$C$3:$C$501,"=31",'Plan rashoda za unos u SAP'!$M$3:$M$501,"=454")+SUMIFS('ANALITIKA EU PROJEKATA'!$G$3:$G$501,'ANALITIKA EU PROJEKATA'!$A$3:$A$501,"=31",'ANALITIKA EU PROJEKATA'!$P$3:$P$501,"=454")</f>
        <v>0</v>
      </c>
      <c r="H57" s="140">
        <f>SUMIFS('Plan rashoda za unos u SAP'!$I$3:$I$501,'Plan rashoda za unos u SAP'!$C$3:$C$501,"=41",'Plan rashoda za unos u SAP'!$M$3:$M$501,"=454")+SUMIFS('ANALITIKA EU PROJEKATA'!$G$3:$G$501,'ANALITIKA EU PROJEKATA'!$A$3:$A$501,"=41",'ANALITIKA EU PROJEKATA'!$P$3:$P$501,"=454")</f>
        <v>0</v>
      </c>
      <c r="I57" s="140">
        <f>SUMIFS('Plan rashoda za unos u SAP'!$I$3:$I$501,'Plan rashoda za unos u SAP'!$C$3:$C$501,"=43",'Plan rashoda za unos u SAP'!$M$3:$M$501,"=454")+SUMIFS('ANALITIKA EU PROJEKATA'!$G$3:$G$501,'ANALITIKA EU PROJEKATA'!$A$3:$A$501,"=43",'ANALITIKA EU PROJEKATA'!$P$3:$P$501,"=454")</f>
        <v>0</v>
      </c>
      <c r="J57" s="140">
        <f>SUMIFS('Plan rashoda za unos u SAP'!$I$3:$I$501,'Plan rashoda za unos u SAP'!$C$3:$C$501,"=51",'Plan rashoda za unos u SAP'!$M$3:$M$501,"=454")+SUMIFS('ANALITIKA EU PROJEKATA'!$G$3:$G$501,'ANALITIKA EU PROJEKATA'!$A$3:$A$501,"=51",'ANALITIKA EU PROJEKATA'!$P$3:$P$501,"=454")</f>
        <v>0</v>
      </c>
      <c r="K57" s="140">
        <f>SUMIFS('Plan rashoda za unos u SAP'!$I$3:$I$501,'Plan rashoda za unos u SAP'!$C$3:$C$501,"=52",'Plan rashoda za unos u SAP'!$M$3:$M$501,"=454")+SUMIFS('ANALITIKA EU PROJEKATA'!$G$3:$G$501,'ANALITIKA EU PROJEKATA'!$A$3:$A$501,"=52",'ANALITIKA EU PROJEKATA'!$P$3:$P$501,"=454")</f>
        <v>0</v>
      </c>
      <c r="L57" s="140">
        <f>SUMIFS('Plan rashoda za unos u SAP'!$I$3:$I$501,'Plan rashoda za unos u SAP'!$C$3:$C$501,"=552",'Plan rashoda za unos u SAP'!$M$3:$M$501,"=454")+SUMIFS('ANALITIKA EU PROJEKATA'!$G$3:$G$501,'ANALITIKA EU PROJEKATA'!$A$3:$A$501,"=552",'ANALITIKA EU PROJEKATA'!$P$3:$P$501,"=454")</f>
        <v>0</v>
      </c>
      <c r="M57" s="140">
        <f>SUMIFS('Plan rashoda za unos u SAP'!$I$3:$I$501,'Plan rashoda za unos u SAP'!$C$3:$C$501,"=559",'Plan rashoda za unos u SAP'!$M$3:$M$501,"=454")+SUMIFS('ANALITIKA EU PROJEKATA'!$G$3:$G$501,'ANALITIKA EU PROJEKATA'!$A$3:$A$501,"=559",'ANALITIKA EU PROJEKATA'!$P$3:$P$501,"=454")</f>
        <v>0</v>
      </c>
      <c r="N57" s="140">
        <f>SUMIFS('Plan rashoda za unos u SAP'!$I$3:$I$501,'Plan rashoda za unos u SAP'!$C$3:$C$501,"=561",'Plan rashoda za unos u SAP'!$M$3:$M$501,"=454")+SUMIFS('ANALITIKA EU PROJEKATA'!$G$3:$G$501,'ANALITIKA EU PROJEKATA'!$A$3:$A$501,"=561",'ANALITIKA EU PROJEKATA'!$P$3:$P$501,"=454")</f>
        <v>0</v>
      </c>
      <c r="O57" s="140">
        <f>SUMIFS('Plan rashoda za unos u SAP'!$I$3:$I$501,'Plan rashoda za unos u SAP'!$C$3:$C$501,"=563",'Plan rashoda za unos u SAP'!$M$3:$M$501,"=454")+SUMIFS('ANALITIKA EU PROJEKATA'!$G$3:$G$501,'ANALITIKA EU PROJEKATA'!$A$3:$A$501,"=563",'ANALITIKA EU PROJEKATA'!$P$3:$P$501,"=454")</f>
        <v>0</v>
      </c>
      <c r="P57" s="140">
        <f>SUMIFS('Plan rashoda za unos u SAP'!$I$3:$I$501,'Plan rashoda za unos u SAP'!$C$3:$C$501,"=573",'Plan rashoda za unos u SAP'!$M$3:$M$501,"=454")+SUMIFS('ANALITIKA EU PROJEKATA'!$G$3:$G$501,'ANALITIKA EU PROJEKATA'!$A$3:$A$501,"=573",'ANALITIKA EU PROJEKATA'!$P$3:$P$501,"=454")</f>
        <v>0</v>
      </c>
      <c r="Q57" s="140">
        <f>SUMIFS('Plan rashoda za unos u SAP'!$I$3:$I$501,'Plan rashoda za unos u SAP'!$C$3:$C$501,"=575",'Plan rashoda za unos u SAP'!$M$3:$M$501,"=454")+SUMIFS('ANALITIKA EU PROJEKATA'!$G$3:$G$501,'ANALITIKA EU PROJEKATA'!$A$3:$A$501,"=575",'ANALITIKA EU PROJEKATA'!$P$3:$P$501,"=454")</f>
        <v>0</v>
      </c>
      <c r="R57" s="140">
        <f>SUMIFS('Plan rashoda za unos u SAP'!$I$3:$I$501,'Plan rashoda za unos u SAP'!$C$3:$C$501,"=576",'Plan rashoda za unos u SAP'!$M$3:$M$501,"=454")+SUMIFS('ANALITIKA EU PROJEKATA'!$G$3:$G$501,'ANALITIKA EU PROJEKATA'!$A$3:$A$501,"=576",'ANALITIKA EU PROJEKATA'!$P$3:$P$501,"=454")</f>
        <v>0</v>
      </c>
      <c r="S57" s="140">
        <f>SUMIFS('Plan rashoda za unos u SAP'!$I$3:$I$501,'Plan rashoda za unos u SAP'!$C$3:$C$501,"=61",'Plan rashoda za unos u SAP'!$M$3:$M$501,"=454")+SUMIFS('ANALITIKA EU PROJEKATA'!$G$3:$G$501,'ANALITIKA EU PROJEKATA'!$A$3:$A$501,"=61",'ANALITIKA EU PROJEKATA'!$P$3:$P$501,"=454")</f>
        <v>0</v>
      </c>
      <c r="T57" s="140">
        <f>SUMIFS('Plan rashoda za unos u SAP'!$I$3:$I$501,'Plan rashoda za unos u SAP'!$C$3:$C$501,"=63",'Plan rashoda za unos u SAP'!$M$3:$M$501,"=454")+SUMIFS('ANALITIKA EU PROJEKATA'!$G$3:$G$501,'ANALITIKA EU PROJEKATA'!$A$3:$A$501,"=63",'ANALITIKA EU PROJEKATA'!$P$3:$P$501,"=454")</f>
        <v>0</v>
      </c>
      <c r="U57" s="140">
        <f>SUMIFS('Plan rashoda za unos u SAP'!$I$3:$I$501,'Plan rashoda za unos u SAP'!$C$3:$C$501,"=71",'Plan rashoda za unos u SAP'!$M$3:$M$501,"=454")+SUMIFS('ANALITIKA EU PROJEKATA'!$G$3:$G$501,'ANALITIKA EU PROJEKATA'!$A$3:$A$501,"=71",'ANALITIKA EU PROJEKATA'!$P$3:$P$501,"=454")</f>
        <v>0</v>
      </c>
      <c r="V57" s="140">
        <f>SUMIFS('Plan rashoda za unos u SAP'!$I$3:$I$501,'Plan rashoda za unos u SAP'!$C$3:$C$501,"=81",'Plan rashoda za unos u SAP'!$M$3:$M$501,"=454")+SUMIFS('ANALITIKA EU PROJEKATA'!$G$3:$G$501,'ANALITIKA EU PROJEKATA'!$A$3:$A$501,"=81",'ANALITIKA EU PROJEKATA'!$P$3:$P$501,"=454")</f>
        <v>0</v>
      </c>
      <c r="W57" s="140">
        <f>SUMIFS('Plan rashoda za unos u SAP'!$I$3:$I$501,'Plan rashoda za unos u SAP'!$C$3:$C$501,"=83",'Plan rashoda za unos u SAP'!$M$3:$M$501,"=454")+SUMIFS('ANALITIKA EU PROJEKATA'!$G$3:$G$501,'ANALITIKA EU PROJEKATA'!$A$3:$A$501,"=83",'ANALITIKA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
        <v>0</v>
      </c>
      <c r="E58" s="125">
        <f t="shared" ref="E58:W58" si="16">+E59+E63</f>
        <v>0</v>
      </c>
      <c r="F58" s="125">
        <f t="shared" si="16"/>
        <v>0</v>
      </c>
      <c r="G58" s="125">
        <f t="shared" si="16"/>
        <v>0</v>
      </c>
      <c r="H58" s="125">
        <f>+H59+H63</f>
        <v>0</v>
      </c>
      <c r="I58" s="125">
        <f t="shared" si="16"/>
        <v>0</v>
      </c>
      <c r="J58" s="125">
        <f t="shared" si="16"/>
        <v>0</v>
      </c>
      <c r="K58" s="125">
        <f t="shared" si="16"/>
        <v>0</v>
      </c>
      <c r="L58" s="125">
        <f>+L59+L63</f>
        <v>0</v>
      </c>
      <c r="M58" s="125">
        <f t="shared" si="16"/>
        <v>0</v>
      </c>
      <c r="N58" s="125">
        <f t="shared" si="16"/>
        <v>0</v>
      </c>
      <c r="O58" s="125">
        <f t="shared" si="16"/>
        <v>0</v>
      </c>
      <c r="P58" s="125">
        <f>+P59+P63</f>
        <v>0</v>
      </c>
      <c r="Q58" s="125">
        <f>+Q59+Q63</f>
        <v>0</v>
      </c>
      <c r="R58" s="125">
        <f>+R59+R63</f>
        <v>0</v>
      </c>
      <c r="S58" s="125">
        <f t="shared" si="16"/>
        <v>0</v>
      </c>
      <c r="T58" s="125">
        <f t="shared" si="16"/>
        <v>0</v>
      </c>
      <c r="U58" s="125">
        <f t="shared" si="16"/>
        <v>0</v>
      </c>
      <c r="V58" s="125">
        <f t="shared" si="16"/>
        <v>0</v>
      </c>
      <c r="W58" s="125">
        <f t="shared" si="16"/>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357</v>
      </c>
      <c r="D59" s="78">
        <f t="shared" si="1"/>
        <v>0</v>
      </c>
      <c r="E59" s="12">
        <f t="shared" ref="E59:W59" si="17">SUM(E60:E62)</f>
        <v>0</v>
      </c>
      <c r="F59" s="12">
        <f t="shared" si="17"/>
        <v>0</v>
      </c>
      <c r="G59" s="12">
        <f t="shared" si="17"/>
        <v>0</v>
      </c>
      <c r="H59" s="12">
        <f t="shared" si="17"/>
        <v>0</v>
      </c>
      <c r="I59" s="12">
        <f t="shared" si="17"/>
        <v>0</v>
      </c>
      <c r="J59" s="12">
        <f t="shared" si="17"/>
        <v>0</v>
      </c>
      <c r="K59" s="12">
        <f t="shared" si="17"/>
        <v>0</v>
      </c>
      <c r="L59" s="12">
        <f t="shared" si="17"/>
        <v>0</v>
      </c>
      <c r="M59" s="12">
        <f t="shared" si="17"/>
        <v>0</v>
      </c>
      <c r="N59" s="12">
        <f t="shared" si="17"/>
        <v>0</v>
      </c>
      <c r="O59" s="12">
        <f t="shared" si="17"/>
        <v>0</v>
      </c>
      <c r="P59" s="12">
        <f t="shared" si="17"/>
        <v>0</v>
      </c>
      <c r="Q59" s="12">
        <f t="shared" si="17"/>
        <v>0</v>
      </c>
      <c r="R59" s="12">
        <f t="shared" ref="R59" si="18">SUM(R60:R62)</f>
        <v>0</v>
      </c>
      <c r="S59" s="12">
        <f t="shared" si="17"/>
        <v>0</v>
      </c>
      <c r="T59" s="12">
        <f t="shared" si="17"/>
        <v>0</v>
      </c>
      <c r="U59" s="12">
        <f t="shared" si="17"/>
        <v>0</v>
      </c>
      <c r="V59" s="12">
        <f t="shared" si="17"/>
        <v>0</v>
      </c>
      <c r="W59" s="12">
        <f t="shared" si="17"/>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7">
        <v>512</v>
      </c>
      <c r="C60" s="81" t="s">
        <v>362</v>
      </c>
      <c r="D60" s="78">
        <f t="shared" si="1"/>
        <v>0</v>
      </c>
      <c r="E60" s="140">
        <f>SUMIFS('Plan rashoda za unos u SAP'!$I$3:$I$501,'Plan rashoda za unos u SAP'!$C$3:$C$501,"=11",'Plan rashoda za unos u SAP'!$M$3:$M$501,"=512")+SUMIFS('ANALITIKA EU PROJEKATA'!$G$3:$G$501,'ANALITIKA EU PROJEKATA'!$A$3:$A$501,"=11",'ANALITIKA EU PROJEKATA'!$P$3:$P$501,"=512")</f>
        <v>0</v>
      </c>
      <c r="F60" s="140">
        <f>SUMIFS('Plan rashoda za unos u SAP'!$I$3:$I$501,'Plan rashoda za unos u SAP'!$C$3:$C$501,"=12",'Plan rashoda za unos u SAP'!$M$3:$M$501,"=512")+SUMIFS('ANALITIKA EU PROJEKATA'!$G$3:$G$501,'ANALITIKA EU PROJEKATA'!$A$3:$A$501,"=12",'ANALITIKA EU PROJEKATA'!$P$3:$P$501,"=512")</f>
        <v>0</v>
      </c>
      <c r="G60" s="140">
        <f>SUMIFS('Plan rashoda za unos u SAP'!$I$3:$I$501,'Plan rashoda za unos u SAP'!$C$3:$C$501,"=31",'Plan rashoda za unos u SAP'!$M$3:$M$501,"=512")+SUMIFS('ANALITIKA EU PROJEKATA'!$G$3:$G$501,'ANALITIKA EU PROJEKATA'!$A$3:$A$501,"=31",'ANALITIKA EU PROJEKATA'!$P$3:$P$501,"=512")</f>
        <v>0</v>
      </c>
      <c r="H60" s="140">
        <f>SUMIFS('Plan rashoda za unos u SAP'!$I$3:$I$501,'Plan rashoda za unos u SAP'!$C$3:$C$501,"=41",'Plan rashoda za unos u SAP'!$M$3:$M$501,"=512")+SUMIFS('ANALITIKA EU PROJEKATA'!$G$3:$G$501,'ANALITIKA EU PROJEKATA'!$A$3:$A$501,"=41",'ANALITIKA EU PROJEKATA'!$P$3:$P$501,"=512")</f>
        <v>0</v>
      </c>
      <c r="I60" s="140">
        <f>SUMIFS('Plan rashoda za unos u SAP'!$I$3:$I$501,'Plan rashoda za unos u SAP'!$C$3:$C$501,"=43",'Plan rashoda za unos u SAP'!$M$3:$M$501,"=512")+SUMIFS('ANALITIKA EU PROJEKATA'!$G$3:$G$501,'ANALITIKA EU PROJEKATA'!$A$3:$A$501,"=43",'ANALITIKA EU PROJEKATA'!$P$3:$P$501,"=512")</f>
        <v>0</v>
      </c>
      <c r="J60" s="140">
        <f>SUMIFS('Plan rashoda za unos u SAP'!$I$3:$I$501,'Plan rashoda za unos u SAP'!$C$3:$C$501,"=51",'Plan rashoda za unos u SAP'!$M$3:$M$501,"=512")+SUMIFS('ANALITIKA EU PROJEKATA'!$G$3:$G$501,'ANALITIKA EU PROJEKATA'!$A$3:$A$501,"=51",'ANALITIKA EU PROJEKATA'!$P$3:$P$501,"=512")</f>
        <v>0</v>
      </c>
      <c r="K60" s="140">
        <f>SUMIFS('Plan rashoda za unos u SAP'!$I$3:$I$501,'Plan rashoda za unos u SAP'!$C$3:$C$501,"=52",'Plan rashoda za unos u SAP'!$M$3:$M$501,"=512")+SUMIFS('ANALITIKA EU PROJEKATA'!$G$3:$G$501,'ANALITIKA EU PROJEKATA'!$A$3:$A$501,"=52",'ANALITIKA EU PROJEKATA'!$P$3:$P$501,"=512")</f>
        <v>0</v>
      </c>
      <c r="L60" s="140">
        <f>SUMIFS('Plan rashoda za unos u SAP'!$I$3:$I$501,'Plan rashoda za unos u SAP'!$C$3:$C$501,"=552",'Plan rashoda za unos u SAP'!$M$3:$M$501,"=512")+SUMIFS('ANALITIKA EU PROJEKATA'!$G$3:$G$501,'ANALITIKA EU PROJEKATA'!$A$3:$A$501,"=552",'ANALITIKA EU PROJEKATA'!$P$3:$P$501,"=512")</f>
        <v>0</v>
      </c>
      <c r="M60" s="140">
        <f>SUMIFS('Plan rashoda za unos u SAP'!$I$3:$I$501,'Plan rashoda za unos u SAP'!$C$3:$C$501,"=559",'Plan rashoda za unos u SAP'!$M$3:$M$501,"=512")+SUMIFS('ANALITIKA EU PROJEKATA'!$G$3:$G$501,'ANALITIKA EU PROJEKATA'!$A$3:$A$501,"=559",'ANALITIKA EU PROJEKATA'!$P$3:$P$501,"=512")</f>
        <v>0</v>
      </c>
      <c r="N60" s="140">
        <f>SUMIFS('Plan rashoda za unos u SAP'!$I$3:$I$501,'Plan rashoda za unos u SAP'!$C$3:$C$501,"=561",'Plan rashoda za unos u SAP'!$M$3:$M$501,"=512")+SUMIFS('ANALITIKA EU PROJEKATA'!$G$3:$G$501,'ANALITIKA EU PROJEKATA'!$A$3:$A$501,"=561",'ANALITIKA EU PROJEKATA'!$P$3:$P$501,"=512")</f>
        <v>0</v>
      </c>
      <c r="O60" s="140">
        <f>SUMIFS('Plan rashoda za unos u SAP'!$I$3:$I$501,'Plan rashoda za unos u SAP'!$C$3:$C$501,"=563",'Plan rashoda za unos u SAP'!$M$3:$M$501,"=512")+SUMIFS('ANALITIKA EU PROJEKATA'!$G$3:$G$501,'ANALITIKA EU PROJEKATA'!$A$3:$A$501,"=563",'ANALITIKA EU PROJEKATA'!$P$3:$P$501,"=512")</f>
        <v>0</v>
      </c>
      <c r="P60" s="140">
        <f>SUMIFS('Plan rashoda za unos u SAP'!$I$3:$I$501,'Plan rashoda za unos u SAP'!$C$3:$C$501,"=573",'Plan rashoda za unos u SAP'!$M$3:$M$501,"=512")+SUMIFS('ANALITIKA EU PROJEKATA'!$G$3:$G$501,'ANALITIKA EU PROJEKATA'!$A$3:$A$501,"=573",'ANALITIKA EU PROJEKATA'!$P$3:$P$501,"=512")</f>
        <v>0</v>
      </c>
      <c r="Q60" s="140">
        <f>SUMIFS('Plan rashoda za unos u SAP'!$I$3:$I$501,'Plan rashoda za unos u SAP'!$C$3:$C$501,"=575",'Plan rashoda za unos u SAP'!$M$3:$M$501,"=512")+SUMIFS('ANALITIKA EU PROJEKATA'!$G$3:$G$501,'ANALITIKA EU PROJEKATA'!$A$3:$A$501,"=575",'ANALITIKA EU PROJEKATA'!$P$3:$P$501,"=512")</f>
        <v>0</v>
      </c>
      <c r="R60" s="140">
        <f>SUMIFS('Plan rashoda za unos u SAP'!$I$3:$I$501,'Plan rashoda za unos u SAP'!$C$3:$C$501,"=576",'Plan rashoda za unos u SAP'!$M$3:$M$501,"=512")+SUMIFS('ANALITIKA EU PROJEKATA'!$G$3:$G$501,'ANALITIKA EU PROJEKATA'!$A$3:$A$501,"=576",'ANALITIKA EU PROJEKATA'!$P$3:$P$501,"=512")</f>
        <v>0</v>
      </c>
      <c r="S60" s="140">
        <f>SUMIFS('Plan rashoda za unos u SAP'!$I$3:$I$501,'Plan rashoda za unos u SAP'!$C$3:$C$501,"=61",'Plan rashoda za unos u SAP'!$M$3:$M$501,"=512")+SUMIFS('ANALITIKA EU PROJEKATA'!$G$3:$G$501,'ANALITIKA EU PROJEKATA'!$A$3:$A$501,"=61",'ANALITIKA EU PROJEKATA'!$P$3:$P$501,"=512")</f>
        <v>0</v>
      </c>
      <c r="T60" s="140">
        <f>SUMIFS('Plan rashoda za unos u SAP'!$I$3:$I$501,'Plan rashoda za unos u SAP'!$C$3:$C$501,"=63",'Plan rashoda za unos u SAP'!$M$3:$M$501,"=512")+SUMIFS('ANALITIKA EU PROJEKATA'!$G$3:$G$501,'ANALITIKA EU PROJEKATA'!$A$3:$A$501,"=63",'ANALITIKA EU PROJEKATA'!$P$3:$P$501,"=512")</f>
        <v>0</v>
      </c>
      <c r="U60" s="140">
        <f>SUMIFS('Plan rashoda za unos u SAP'!$I$3:$I$501,'Plan rashoda za unos u SAP'!$C$3:$C$501,"=71",'Plan rashoda za unos u SAP'!$M$3:$M$501,"=512")+SUMIFS('ANALITIKA EU PROJEKATA'!$G$3:$G$501,'ANALITIKA EU PROJEKATA'!$A$3:$A$501,"=71",'ANALITIKA EU PROJEKATA'!$P$3:$P$501,"=512")</f>
        <v>0</v>
      </c>
      <c r="V60" s="140">
        <f>SUMIFS('Plan rashoda za unos u SAP'!$I$3:$I$501,'Plan rashoda za unos u SAP'!$C$3:$C$501,"=81",'Plan rashoda za unos u SAP'!$M$3:$M$501,"=512")+SUMIFS('ANALITIKA EU PROJEKATA'!$G$3:$G$501,'ANALITIKA EU PROJEKATA'!$A$3:$A$501,"=81",'ANALITIKA EU PROJEKATA'!$P$3:$P$501,"=512")</f>
        <v>0</v>
      </c>
      <c r="W60" s="140">
        <f>SUMIFS('Plan rashoda za unos u SAP'!$I$3:$I$501,'Plan rashoda za unos u SAP'!$C$3:$C$501,"=83",'Plan rashoda za unos u SAP'!$M$3:$M$501,"=512")+SUMIFS('ANALITIKA EU PROJEKATA'!$G$3:$G$501,'ANALITIKA EU PROJEKATA'!$A$3:$A$501,"=83",'ANALITIKA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7">
        <v>514</v>
      </c>
      <c r="C61" s="81" t="s">
        <v>363</v>
      </c>
      <c r="D61" s="78">
        <f t="shared" si="1"/>
        <v>0</v>
      </c>
      <c r="E61" s="140">
        <f>SUMIFS('Plan rashoda za unos u SAP'!$I$3:$I$501,'Plan rashoda za unos u SAP'!$C$3:$C$501,"=11",'Plan rashoda za unos u SAP'!$M$3:$M$501,"=514")+SUMIFS('ANALITIKA EU PROJEKATA'!$G$3:$G$501,'ANALITIKA EU PROJEKATA'!$A$3:$A$501,"=11",'ANALITIKA EU PROJEKATA'!$P$3:$P$501,"=514")</f>
        <v>0</v>
      </c>
      <c r="F61" s="140">
        <f>SUMIFS('Plan rashoda za unos u SAP'!$I$3:$I$501,'Plan rashoda za unos u SAP'!$C$3:$C$501,"=12",'Plan rashoda za unos u SAP'!$M$3:$M$501,"=514")+SUMIFS('ANALITIKA EU PROJEKATA'!$G$3:$G$501,'ANALITIKA EU PROJEKATA'!$A$3:$A$501,"=12",'ANALITIKA EU PROJEKATA'!$P$3:$P$501,"=514")</f>
        <v>0</v>
      </c>
      <c r="G61" s="140">
        <f>SUMIFS('Plan rashoda za unos u SAP'!$I$3:$I$501,'Plan rashoda za unos u SAP'!$C$3:$C$501,"=31",'Plan rashoda za unos u SAP'!$M$3:$M$501,"=514")+SUMIFS('ANALITIKA EU PROJEKATA'!$G$3:$G$501,'ANALITIKA EU PROJEKATA'!$A$3:$A$501,"=31",'ANALITIKA EU PROJEKATA'!$P$3:$P$501,"=514")</f>
        <v>0</v>
      </c>
      <c r="H61" s="140">
        <f>SUMIFS('Plan rashoda za unos u SAP'!$I$3:$I$501,'Plan rashoda za unos u SAP'!$C$3:$C$501,"=41",'Plan rashoda za unos u SAP'!$M$3:$M$501,"=514")+SUMIFS('ANALITIKA EU PROJEKATA'!$G$3:$G$501,'ANALITIKA EU PROJEKATA'!$A$3:$A$501,"=41",'ANALITIKA EU PROJEKATA'!$P$3:$P$501,"=514")</f>
        <v>0</v>
      </c>
      <c r="I61" s="140">
        <f>SUMIFS('Plan rashoda za unos u SAP'!$I$3:$I$501,'Plan rashoda za unos u SAP'!$C$3:$C$501,"=43",'Plan rashoda za unos u SAP'!$M$3:$M$501,"=514")+SUMIFS('ANALITIKA EU PROJEKATA'!$G$3:$G$501,'ANALITIKA EU PROJEKATA'!$A$3:$A$501,"=43",'ANALITIKA EU PROJEKATA'!$P$3:$P$501,"=514")</f>
        <v>0</v>
      </c>
      <c r="J61" s="140">
        <f>SUMIFS('Plan rashoda za unos u SAP'!$I$3:$I$501,'Plan rashoda za unos u SAP'!$C$3:$C$501,"=51",'Plan rashoda za unos u SAP'!$M$3:$M$501,"=514")+SUMIFS('ANALITIKA EU PROJEKATA'!$G$3:$G$501,'ANALITIKA EU PROJEKATA'!$A$3:$A$501,"=51",'ANALITIKA EU PROJEKATA'!$P$3:$P$501,"=514")</f>
        <v>0</v>
      </c>
      <c r="K61" s="140">
        <f>SUMIFS('Plan rashoda za unos u SAP'!$I$3:$I$501,'Plan rashoda za unos u SAP'!$C$3:$C$501,"=52",'Plan rashoda za unos u SAP'!$M$3:$M$501,"=514")+SUMIFS('ANALITIKA EU PROJEKATA'!$G$3:$G$501,'ANALITIKA EU PROJEKATA'!$A$3:$A$501,"=52",'ANALITIKA EU PROJEKATA'!$P$3:$P$501,"=514")</f>
        <v>0</v>
      </c>
      <c r="L61" s="140">
        <f>SUMIFS('Plan rashoda za unos u SAP'!$I$3:$I$501,'Plan rashoda za unos u SAP'!$C$3:$C$501,"=552",'Plan rashoda za unos u SAP'!$M$3:$M$501,"=514")+SUMIFS('ANALITIKA EU PROJEKATA'!$G$3:$G$501,'ANALITIKA EU PROJEKATA'!$A$3:$A$501,"=552",'ANALITIKA EU PROJEKATA'!$P$3:$P$501,"=514")</f>
        <v>0</v>
      </c>
      <c r="M61" s="140">
        <f>SUMIFS('Plan rashoda za unos u SAP'!$I$3:$I$501,'Plan rashoda za unos u SAP'!$C$3:$C$501,"=559",'Plan rashoda za unos u SAP'!$M$3:$M$501,"=514")+SUMIFS('ANALITIKA EU PROJEKATA'!$G$3:$G$501,'ANALITIKA EU PROJEKATA'!$A$3:$A$501,"=559",'ANALITIKA EU PROJEKATA'!$P$3:$P$501,"=514")</f>
        <v>0</v>
      </c>
      <c r="N61" s="140">
        <f>SUMIFS('Plan rashoda za unos u SAP'!$I$3:$I$501,'Plan rashoda za unos u SAP'!$C$3:$C$501,"=561",'Plan rashoda za unos u SAP'!$M$3:$M$501,"=514")+SUMIFS('ANALITIKA EU PROJEKATA'!$G$3:$G$501,'ANALITIKA EU PROJEKATA'!$A$3:$A$501,"=561",'ANALITIKA EU PROJEKATA'!$P$3:$P$501,"=514")</f>
        <v>0</v>
      </c>
      <c r="O61" s="140">
        <f>SUMIFS('Plan rashoda za unos u SAP'!$I$3:$I$501,'Plan rashoda za unos u SAP'!$C$3:$C$501,"=563",'Plan rashoda za unos u SAP'!$M$3:$M$501,"=514")+SUMIFS('ANALITIKA EU PROJEKATA'!$G$3:$G$501,'ANALITIKA EU PROJEKATA'!$A$3:$A$501,"=563",'ANALITIKA EU PROJEKATA'!$P$3:$P$501,"=514")</f>
        <v>0</v>
      </c>
      <c r="P61" s="140">
        <f>SUMIFS('Plan rashoda za unos u SAP'!$I$3:$I$501,'Plan rashoda za unos u SAP'!$C$3:$C$501,"=573",'Plan rashoda za unos u SAP'!$M$3:$M$501,"=514")+SUMIFS('ANALITIKA EU PROJEKATA'!$G$3:$G$501,'ANALITIKA EU PROJEKATA'!$A$3:$A$501,"=573",'ANALITIKA EU PROJEKATA'!$P$3:$P$501,"=514")</f>
        <v>0</v>
      </c>
      <c r="Q61" s="140">
        <f>SUMIFS('Plan rashoda za unos u SAP'!$I$3:$I$501,'Plan rashoda za unos u SAP'!$C$3:$C$501,"=575",'Plan rashoda za unos u SAP'!$M$3:$M$501,"=514")+SUMIFS('ANALITIKA EU PROJEKATA'!$G$3:$G$501,'ANALITIKA EU PROJEKATA'!$A$3:$A$501,"=575",'ANALITIKA EU PROJEKATA'!$P$3:$P$501,"=514")</f>
        <v>0</v>
      </c>
      <c r="R61" s="140">
        <f>SUMIFS('Plan rashoda za unos u SAP'!$I$3:$I$501,'Plan rashoda za unos u SAP'!$C$3:$C$501,"=576",'Plan rashoda za unos u SAP'!$M$3:$M$501,"=514")+SUMIFS('ANALITIKA EU PROJEKATA'!$G$3:$G$501,'ANALITIKA EU PROJEKATA'!$A$3:$A$501,"=576",'ANALITIKA EU PROJEKATA'!$P$3:$P$501,"=514")</f>
        <v>0</v>
      </c>
      <c r="S61" s="140">
        <f>SUMIFS('Plan rashoda za unos u SAP'!$I$3:$I$501,'Plan rashoda za unos u SAP'!$C$3:$C$501,"=61",'Plan rashoda za unos u SAP'!$M$3:$M$501,"=514")+SUMIFS('ANALITIKA EU PROJEKATA'!$G$3:$G$501,'ANALITIKA EU PROJEKATA'!$A$3:$A$501,"=61",'ANALITIKA EU PROJEKATA'!$P$3:$P$501,"=514")</f>
        <v>0</v>
      </c>
      <c r="T61" s="140">
        <f>SUMIFS('Plan rashoda za unos u SAP'!$I$3:$I$501,'Plan rashoda za unos u SAP'!$C$3:$C$501,"=63",'Plan rashoda za unos u SAP'!$M$3:$M$501,"=514")+SUMIFS('ANALITIKA EU PROJEKATA'!$G$3:$G$501,'ANALITIKA EU PROJEKATA'!$A$3:$A$501,"=63",'ANALITIKA EU PROJEKATA'!$P$3:$P$501,"=514")</f>
        <v>0</v>
      </c>
      <c r="U61" s="140">
        <f>SUMIFS('Plan rashoda za unos u SAP'!$I$3:$I$501,'Plan rashoda za unos u SAP'!$C$3:$C$501,"=71",'Plan rashoda za unos u SAP'!$M$3:$M$501,"=514")+SUMIFS('ANALITIKA EU PROJEKATA'!$G$3:$G$501,'ANALITIKA EU PROJEKATA'!$A$3:$A$501,"=71",'ANALITIKA EU PROJEKATA'!$P$3:$P$501,"=514")</f>
        <v>0</v>
      </c>
      <c r="V61" s="140">
        <f>SUMIFS('Plan rashoda za unos u SAP'!$I$3:$I$501,'Plan rashoda za unos u SAP'!$C$3:$C$501,"=81",'Plan rashoda za unos u SAP'!$M$3:$M$501,"=514")+SUMIFS('ANALITIKA EU PROJEKATA'!$G$3:$G$501,'ANALITIKA EU PROJEKATA'!$A$3:$A$501,"=81",'ANALITIKA EU PROJEKATA'!$P$3:$P$501,"=514")</f>
        <v>0</v>
      </c>
      <c r="W61" s="140">
        <f>SUMIFS('Plan rashoda za unos u SAP'!$I$3:$I$501,'Plan rashoda za unos u SAP'!$C$3:$C$501,"=83",'Plan rashoda za unos u SAP'!$M$3:$M$501,"=514")+SUMIFS('ANALITIKA EU PROJEKATA'!$G$3:$G$501,'ANALITIKA EU PROJEKATA'!$A$3:$A$501,"=83",'ANALITIKA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7">
        <v>518</v>
      </c>
      <c r="C62" s="81" t="s">
        <v>364</v>
      </c>
      <c r="D62" s="78">
        <f t="shared" si="1"/>
        <v>0</v>
      </c>
      <c r="E62" s="140">
        <f>SUMIFS('Plan rashoda za unos u SAP'!$I$3:$I$501,'Plan rashoda za unos u SAP'!$C$3:$C$501,"=11",'Plan rashoda za unos u SAP'!$M$3:$M$501,"=518")+SUMIFS('ANALITIKA EU PROJEKATA'!$G$3:$G$501,'ANALITIKA EU PROJEKATA'!$A$3:$A$501,"=11",'ANALITIKA EU PROJEKATA'!$P$3:$P$501,"=518")</f>
        <v>0</v>
      </c>
      <c r="F62" s="140">
        <f>SUMIFS('Plan rashoda za unos u SAP'!$I$3:$I$501,'Plan rashoda za unos u SAP'!$C$3:$C$501,"=12",'Plan rashoda za unos u SAP'!$M$3:$M$501,"=518")+SUMIFS('ANALITIKA EU PROJEKATA'!$G$3:$G$501,'ANALITIKA EU PROJEKATA'!$A$3:$A$501,"=12",'ANALITIKA EU PROJEKATA'!$P$3:$P$501,"=518")</f>
        <v>0</v>
      </c>
      <c r="G62" s="140">
        <f>SUMIFS('Plan rashoda za unos u SAP'!$I$3:$I$501,'Plan rashoda za unos u SAP'!$C$3:$C$501,"=31",'Plan rashoda za unos u SAP'!$M$3:$M$501,"=518")+SUMIFS('ANALITIKA EU PROJEKATA'!$G$3:$G$501,'ANALITIKA EU PROJEKATA'!$A$3:$A$501,"=31",'ANALITIKA EU PROJEKATA'!$P$3:$P$501,"=518")</f>
        <v>0</v>
      </c>
      <c r="H62" s="140">
        <f>SUMIFS('Plan rashoda za unos u SAP'!$I$3:$I$501,'Plan rashoda za unos u SAP'!$C$3:$C$501,"=41",'Plan rashoda za unos u SAP'!$M$3:$M$501,"=518")+SUMIFS('ANALITIKA EU PROJEKATA'!$G$3:$G$501,'ANALITIKA EU PROJEKATA'!$A$3:$A$501,"=41",'ANALITIKA EU PROJEKATA'!$P$3:$P$501,"=518")</f>
        <v>0</v>
      </c>
      <c r="I62" s="140">
        <f>SUMIFS('Plan rashoda za unos u SAP'!$I$3:$I$501,'Plan rashoda za unos u SAP'!$C$3:$C$501,"=43",'Plan rashoda za unos u SAP'!$M$3:$M$501,"=518")+SUMIFS('ANALITIKA EU PROJEKATA'!$G$3:$G$501,'ANALITIKA EU PROJEKATA'!$A$3:$A$501,"=43",'ANALITIKA EU PROJEKATA'!$P$3:$P$501,"=518")</f>
        <v>0</v>
      </c>
      <c r="J62" s="140">
        <f>SUMIFS('Plan rashoda za unos u SAP'!$I$3:$I$501,'Plan rashoda za unos u SAP'!$C$3:$C$501,"=51",'Plan rashoda za unos u SAP'!$M$3:$M$501,"=518")+SUMIFS('ANALITIKA EU PROJEKATA'!$G$3:$G$501,'ANALITIKA EU PROJEKATA'!$A$3:$A$501,"=51",'ANALITIKA EU PROJEKATA'!$P$3:$P$501,"=518")</f>
        <v>0</v>
      </c>
      <c r="K62" s="140">
        <f>SUMIFS('Plan rashoda za unos u SAP'!$I$3:$I$501,'Plan rashoda za unos u SAP'!$C$3:$C$501,"=52",'Plan rashoda za unos u SAP'!$M$3:$M$501,"=518")+SUMIFS('ANALITIKA EU PROJEKATA'!$G$3:$G$501,'ANALITIKA EU PROJEKATA'!$A$3:$A$501,"=52",'ANALITIKA EU PROJEKATA'!$P$3:$P$501,"=518")</f>
        <v>0</v>
      </c>
      <c r="L62" s="140">
        <f>SUMIFS('Plan rashoda za unos u SAP'!$I$3:$I$501,'Plan rashoda za unos u SAP'!$C$3:$C$501,"=552",'Plan rashoda za unos u SAP'!$M$3:$M$501,"=518")+SUMIFS('ANALITIKA EU PROJEKATA'!$G$3:$G$501,'ANALITIKA EU PROJEKATA'!$A$3:$A$501,"=552",'ANALITIKA EU PROJEKATA'!$P$3:$P$501,"=518")</f>
        <v>0</v>
      </c>
      <c r="M62" s="140">
        <f>SUMIFS('Plan rashoda za unos u SAP'!$I$3:$I$501,'Plan rashoda za unos u SAP'!$C$3:$C$501,"=559",'Plan rashoda za unos u SAP'!$M$3:$M$501,"=518")+SUMIFS('ANALITIKA EU PROJEKATA'!$G$3:$G$501,'ANALITIKA EU PROJEKATA'!$A$3:$A$501,"=559",'ANALITIKA EU PROJEKATA'!$P$3:$P$501,"=518")</f>
        <v>0</v>
      </c>
      <c r="N62" s="140">
        <f>SUMIFS('Plan rashoda za unos u SAP'!$I$3:$I$501,'Plan rashoda za unos u SAP'!$C$3:$C$501,"=561",'Plan rashoda za unos u SAP'!$M$3:$M$501,"=518")+SUMIFS('ANALITIKA EU PROJEKATA'!$G$3:$G$501,'ANALITIKA EU PROJEKATA'!$A$3:$A$501,"=561",'ANALITIKA EU PROJEKATA'!$P$3:$P$501,"=518")</f>
        <v>0</v>
      </c>
      <c r="O62" s="140">
        <f>SUMIFS('Plan rashoda za unos u SAP'!$I$3:$I$501,'Plan rashoda za unos u SAP'!$C$3:$C$501,"=563",'Plan rashoda za unos u SAP'!$M$3:$M$501,"=518")+SUMIFS('ANALITIKA EU PROJEKATA'!$G$3:$G$501,'ANALITIKA EU PROJEKATA'!$A$3:$A$501,"=563",'ANALITIKA EU PROJEKATA'!$P$3:$P$501,"=518")</f>
        <v>0</v>
      </c>
      <c r="P62" s="140">
        <f>SUMIFS('Plan rashoda za unos u SAP'!$I$3:$I$501,'Plan rashoda za unos u SAP'!$C$3:$C$501,"=573",'Plan rashoda za unos u SAP'!$M$3:$M$501,"=518")+SUMIFS('ANALITIKA EU PROJEKATA'!$G$3:$G$501,'ANALITIKA EU PROJEKATA'!$A$3:$A$501,"=573",'ANALITIKA EU PROJEKATA'!$P$3:$P$501,"=518")</f>
        <v>0</v>
      </c>
      <c r="Q62" s="140">
        <f>SUMIFS('Plan rashoda za unos u SAP'!$I$3:$I$501,'Plan rashoda za unos u SAP'!$C$3:$C$501,"=575",'Plan rashoda za unos u SAP'!$M$3:$M$501,"=518")+SUMIFS('ANALITIKA EU PROJEKATA'!$G$3:$G$501,'ANALITIKA EU PROJEKATA'!$A$3:$A$501,"=575",'ANALITIKA EU PROJEKATA'!$P$3:$P$501,"=518")</f>
        <v>0</v>
      </c>
      <c r="R62" s="140">
        <f>SUMIFS('Plan rashoda za unos u SAP'!$I$3:$I$501,'Plan rashoda za unos u SAP'!$C$3:$C$501,"=576",'Plan rashoda za unos u SAP'!$M$3:$M$501,"=518")+SUMIFS('ANALITIKA EU PROJEKATA'!$G$3:$G$501,'ANALITIKA EU PROJEKATA'!$A$3:$A$501,"=576",'ANALITIKA EU PROJEKATA'!$P$3:$P$501,"=518")</f>
        <v>0</v>
      </c>
      <c r="S62" s="140">
        <f>SUMIFS('Plan rashoda za unos u SAP'!$I$3:$I$501,'Plan rashoda za unos u SAP'!$C$3:$C$501,"=61",'Plan rashoda za unos u SAP'!$M$3:$M$501,"=518")+SUMIFS('ANALITIKA EU PROJEKATA'!$G$3:$G$501,'ANALITIKA EU PROJEKATA'!$A$3:$A$501,"=61",'ANALITIKA EU PROJEKATA'!$P$3:$P$501,"=518")</f>
        <v>0</v>
      </c>
      <c r="T62" s="140">
        <f>SUMIFS('Plan rashoda za unos u SAP'!$I$3:$I$501,'Plan rashoda za unos u SAP'!$C$3:$C$501,"=63",'Plan rashoda za unos u SAP'!$M$3:$M$501,"=518")+SUMIFS('ANALITIKA EU PROJEKATA'!$G$3:$G$501,'ANALITIKA EU PROJEKATA'!$A$3:$A$501,"=63",'ANALITIKA EU PROJEKATA'!$P$3:$P$501,"=518")</f>
        <v>0</v>
      </c>
      <c r="U62" s="140">
        <f>SUMIFS('Plan rashoda za unos u SAP'!$I$3:$I$501,'Plan rashoda za unos u SAP'!$C$3:$C$501,"=71",'Plan rashoda za unos u SAP'!$M$3:$M$501,"=518")+SUMIFS('ANALITIKA EU PROJEKATA'!$G$3:$G$501,'ANALITIKA EU PROJEKATA'!$A$3:$A$501,"=71",'ANALITIKA EU PROJEKATA'!$P$3:$P$501,"=518")</f>
        <v>0</v>
      </c>
      <c r="V62" s="140">
        <f>SUMIFS('Plan rashoda za unos u SAP'!$I$3:$I$501,'Plan rashoda za unos u SAP'!$C$3:$C$501,"=81",'Plan rashoda za unos u SAP'!$M$3:$M$501,"=518")+SUMIFS('ANALITIKA EU PROJEKATA'!$G$3:$G$501,'ANALITIKA EU PROJEKATA'!$A$3:$A$501,"=81",'ANALITIKA EU PROJEKATA'!$P$3:$P$501,"=518")</f>
        <v>0</v>
      </c>
      <c r="W62" s="140">
        <f>SUMIFS('Plan rashoda za unos u SAP'!$I$3:$I$501,'Plan rashoda za unos u SAP'!$C$3:$C$501,"=83",'Plan rashoda za unos u SAP'!$M$3:$M$501,"=518")+SUMIFS('ANALITIKA EU PROJEKATA'!$G$3:$G$501,'ANALITIKA EU PROJEKATA'!$A$3:$A$501,"=83",'ANALITIKA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358</v>
      </c>
      <c r="D63" s="78">
        <f t="shared" si="1"/>
        <v>0</v>
      </c>
      <c r="E63" s="12">
        <f>SUM(E64:E68)</f>
        <v>0</v>
      </c>
      <c r="F63" s="12">
        <f t="shared" ref="F63:W63" si="19">SUM(F64:F68)</f>
        <v>0</v>
      </c>
      <c r="G63" s="12">
        <f t="shared" si="19"/>
        <v>0</v>
      </c>
      <c r="H63" s="12">
        <f>SUM(H64:H68)</f>
        <v>0</v>
      </c>
      <c r="I63" s="12">
        <f t="shared" si="19"/>
        <v>0</v>
      </c>
      <c r="J63" s="12">
        <f>SUM(J64:J68)</f>
        <v>0</v>
      </c>
      <c r="K63" s="12">
        <f t="shared" si="19"/>
        <v>0</v>
      </c>
      <c r="L63" s="12">
        <f>SUM(L64:L68)</f>
        <v>0</v>
      </c>
      <c r="M63" s="12">
        <f t="shared" si="19"/>
        <v>0</v>
      </c>
      <c r="N63" s="12">
        <f t="shared" si="19"/>
        <v>0</v>
      </c>
      <c r="O63" s="12">
        <f t="shared" si="19"/>
        <v>0</v>
      </c>
      <c r="P63" s="12">
        <f>SUM(P64:P68)</f>
        <v>0</v>
      </c>
      <c r="Q63" s="12">
        <f>SUM(Q64:Q68)</f>
        <v>0</v>
      </c>
      <c r="R63" s="12">
        <f>SUM(R64:R68)</f>
        <v>0</v>
      </c>
      <c r="S63" s="12">
        <f t="shared" si="19"/>
        <v>0</v>
      </c>
      <c r="T63" s="12">
        <f t="shared" si="19"/>
        <v>0</v>
      </c>
      <c r="U63" s="12">
        <f t="shared" si="19"/>
        <v>0</v>
      </c>
      <c r="V63" s="12">
        <f t="shared" si="19"/>
        <v>0</v>
      </c>
      <c r="W63" s="12">
        <f t="shared" si="19"/>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365</v>
      </c>
      <c r="D64" s="78">
        <f t="shared" si="1"/>
        <v>0</v>
      </c>
      <c r="E64" s="140">
        <f>SUMIFS('Plan rashoda za unos u SAP'!$I$3:$I$501,'Plan rashoda za unos u SAP'!$C$3:$C$501,"=11",'Plan rashoda za unos u SAP'!$M$3:$M$501,"=542")+SUMIFS('ANALITIKA EU PROJEKATA'!$G$3:$G$501,'ANALITIKA EU PROJEKATA'!$A$3:$A$501,"=11",'ANALITIKA EU PROJEKATA'!$P$3:$P$501,"=542")</f>
        <v>0</v>
      </c>
      <c r="F64" s="140">
        <f>SUMIFS('Plan rashoda za unos u SAP'!$I$3:$I$501,'Plan rashoda za unos u SAP'!$C$3:$C$501,"=12",'Plan rashoda za unos u SAP'!$M$3:$M$501,"=542")+SUMIFS('ANALITIKA EU PROJEKATA'!$G$3:$G$501,'ANALITIKA EU PROJEKATA'!$A$3:$A$501,"=12",'ANALITIKA EU PROJEKATA'!$P$3:$P$501,"=542")</f>
        <v>0</v>
      </c>
      <c r="G64" s="140">
        <f>SUMIFS('Plan rashoda za unos u SAP'!$I$3:$I$501,'Plan rashoda za unos u SAP'!$C$3:$C$501,"=31",'Plan rashoda za unos u SAP'!$M$3:$M$501,"=542")+SUMIFS('ANALITIKA EU PROJEKATA'!$G$3:$G$501,'ANALITIKA EU PROJEKATA'!$A$3:$A$501,"=31",'ANALITIKA EU PROJEKATA'!$P$3:$P$501,"=542")</f>
        <v>0</v>
      </c>
      <c r="H64" s="140">
        <f>SUMIFS('Plan rashoda za unos u SAP'!$I$3:$I$501,'Plan rashoda za unos u SAP'!$C$3:$C$501,"=41",'Plan rashoda za unos u SAP'!$M$3:$M$501,"=542")+SUMIFS('ANALITIKA EU PROJEKATA'!$G$3:$G$501,'ANALITIKA EU PROJEKATA'!$A$3:$A$501,"=41",'ANALITIKA EU PROJEKATA'!$P$3:$P$501,"=542")</f>
        <v>0</v>
      </c>
      <c r="I64" s="140">
        <f>SUMIFS('Plan rashoda za unos u SAP'!$I$3:$I$501,'Plan rashoda za unos u SAP'!$C$3:$C$501,"=43",'Plan rashoda za unos u SAP'!$M$3:$M$501,"=542")+SUMIFS('ANALITIKA EU PROJEKATA'!$G$3:$G$501,'ANALITIKA EU PROJEKATA'!$A$3:$A$501,"=43",'ANALITIKA EU PROJEKATA'!$P$3:$P$501,"=542")</f>
        <v>0</v>
      </c>
      <c r="J64" s="140">
        <f>SUMIFS('Plan rashoda za unos u SAP'!$I$3:$I$501,'Plan rashoda za unos u SAP'!$C$3:$C$501,"=51",'Plan rashoda za unos u SAP'!$M$3:$M$501,"=542")+SUMIFS('ANALITIKA EU PROJEKATA'!$G$3:$G$501,'ANALITIKA EU PROJEKATA'!$A$3:$A$501,"=51",'ANALITIKA EU PROJEKATA'!$P$3:$P$501,"=542")</f>
        <v>0</v>
      </c>
      <c r="K64" s="140">
        <f>SUMIFS('Plan rashoda za unos u SAP'!$I$3:$I$501,'Plan rashoda za unos u SAP'!$C$3:$C$501,"=52",'Plan rashoda za unos u SAP'!$M$3:$M$501,"=542")+SUMIFS('ANALITIKA EU PROJEKATA'!$G$3:$G$501,'ANALITIKA EU PROJEKATA'!$A$3:$A$501,"=52",'ANALITIKA EU PROJEKATA'!$P$3:$P$501,"=542")</f>
        <v>0</v>
      </c>
      <c r="L64" s="140">
        <f>SUMIFS('Plan rashoda za unos u SAP'!$I$3:$I$501,'Plan rashoda za unos u SAP'!$C$3:$C$501,"=552",'Plan rashoda za unos u SAP'!$M$3:$M$501,"=542")+SUMIFS('ANALITIKA EU PROJEKATA'!$G$3:$G$501,'ANALITIKA EU PROJEKATA'!$A$3:$A$501,"=552",'ANALITIKA EU PROJEKATA'!$P$3:$P$501,"=542")</f>
        <v>0</v>
      </c>
      <c r="M64" s="140">
        <f>SUMIFS('Plan rashoda za unos u SAP'!$I$3:$I$501,'Plan rashoda za unos u SAP'!$C$3:$C$501,"=559",'Plan rashoda za unos u SAP'!$M$3:$M$501,"=542")+SUMIFS('ANALITIKA EU PROJEKATA'!$G$3:$G$501,'ANALITIKA EU PROJEKATA'!$A$3:$A$501,"=559",'ANALITIKA EU PROJEKATA'!$P$3:$P$501,"=542")</f>
        <v>0</v>
      </c>
      <c r="N64" s="140">
        <f>SUMIFS('Plan rashoda za unos u SAP'!$I$3:$I$501,'Plan rashoda za unos u SAP'!$C$3:$C$501,"=561",'Plan rashoda za unos u SAP'!$M$3:$M$501,"=542")+SUMIFS('ANALITIKA EU PROJEKATA'!$G$3:$G$501,'ANALITIKA EU PROJEKATA'!$A$3:$A$501,"=561",'ANALITIKA EU PROJEKATA'!$P$3:$P$501,"=542")</f>
        <v>0</v>
      </c>
      <c r="O64" s="140">
        <f>SUMIFS('Plan rashoda za unos u SAP'!$I$3:$I$501,'Plan rashoda za unos u SAP'!$C$3:$C$501,"=563",'Plan rashoda za unos u SAP'!$M$3:$M$501,"=542")+SUMIFS('ANALITIKA EU PROJEKATA'!$G$3:$G$501,'ANALITIKA EU PROJEKATA'!$A$3:$A$501,"=563",'ANALITIKA EU PROJEKATA'!$P$3:$P$501,"=542")</f>
        <v>0</v>
      </c>
      <c r="P64" s="140">
        <f>SUMIFS('Plan rashoda za unos u SAP'!$I$3:$I$501,'Plan rashoda za unos u SAP'!$C$3:$C$501,"=573",'Plan rashoda za unos u SAP'!$M$3:$M$501,"=542")+SUMIFS('ANALITIKA EU PROJEKATA'!$G$3:$G$501,'ANALITIKA EU PROJEKATA'!$A$3:$A$501,"=573",'ANALITIKA EU PROJEKATA'!$P$3:$P$501,"=542")</f>
        <v>0</v>
      </c>
      <c r="Q64" s="140">
        <f>SUMIFS('Plan rashoda za unos u SAP'!$I$3:$I$501,'Plan rashoda za unos u SAP'!$C$3:$C$501,"=575",'Plan rashoda za unos u SAP'!$M$3:$M$501,"=542")+SUMIFS('ANALITIKA EU PROJEKATA'!$G$3:$G$501,'ANALITIKA EU PROJEKATA'!$A$3:$A$501,"=575",'ANALITIKA EU PROJEKATA'!$P$3:$P$501,"=542")</f>
        <v>0</v>
      </c>
      <c r="R64" s="140">
        <f>SUMIFS('Plan rashoda za unos u SAP'!$I$3:$I$501,'Plan rashoda za unos u SAP'!$C$3:$C$501,"=576",'Plan rashoda za unos u SAP'!$M$3:$M$501,"=542")+SUMIFS('ANALITIKA EU PROJEKATA'!$G$3:$G$501,'ANALITIKA EU PROJEKATA'!$A$3:$A$501,"=576",'ANALITIKA EU PROJEKATA'!$P$3:$P$501,"=542")</f>
        <v>0</v>
      </c>
      <c r="S64" s="140">
        <f>SUMIFS('Plan rashoda za unos u SAP'!$I$3:$I$501,'Plan rashoda za unos u SAP'!$C$3:$C$501,"=61",'Plan rashoda za unos u SAP'!$M$3:$M$501,"=542")+SUMIFS('ANALITIKA EU PROJEKATA'!$G$3:$G$501,'ANALITIKA EU PROJEKATA'!$A$3:$A$501,"=61",'ANALITIKA EU PROJEKATA'!$P$3:$P$501,"=542")</f>
        <v>0</v>
      </c>
      <c r="T64" s="140">
        <f>SUMIFS('Plan rashoda za unos u SAP'!$I$3:$I$501,'Plan rashoda za unos u SAP'!$C$3:$C$501,"=63",'Plan rashoda za unos u SAP'!$M$3:$M$501,"=542")+SUMIFS('ANALITIKA EU PROJEKATA'!$G$3:$G$501,'ANALITIKA EU PROJEKATA'!$A$3:$A$501,"=63",'ANALITIKA EU PROJEKATA'!$P$3:$P$501,"=542")</f>
        <v>0</v>
      </c>
      <c r="U64" s="140">
        <f>SUMIFS('Plan rashoda za unos u SAP'!$I$3:$I$501,'Plan rashoda za unos u SAP'!$C$3:$C$501,"=71",'Plan rashoda za unos u SAP'!$M$3:$M$501,"=542")+SUMIFS('ANALITIKA EU PROJEKATA'!$G$3:$G$501,'ANALITIKA EU PROJEKATA'!$A$3:$A$501,"=71",'ANALITIKA EU PROJEKATA'!$P$3:$P$501,"=542")</f>
        <v>0</v>
      </c>
      <c r="V64" s="140">
        <f>SUMIFS('Plan rashoda za unos u SAP'!$I$3:$I$501,'Plan rashoda za unos u SAP'!$C$3:$C$501,"=81",'Plan rashoda za unos u SAP'!$M$3:$M$501,"=542")+SUMIFS('ANALITIKA EU PROJEKATA'!$G$3:$G$501,'ANALITIKA EU PROJEKATA'!$A$3:$A$501,"=81",'ANALITIKA EU PROJEKATA'!$P$3:$P$501,"=542")</f>
        <v>0</v>
      </c>
      <c r="W64" s="140">
        <f>SUMIFS('Plan rashoda za unos u SAP'!$I$3:$I$501,'Plan rashoda za unos u SAP'!$C$3:$C$501,"=83",'Plan rashoda za unos u SAP'!$M$3:$M$501,"=542")+SUMIFS('ANALITIKA EU PROJEKATA'!$G$3:$G$501,'ANALITIKA EU PROJEKATA'!$A$3:$A$501,"=83",'ANALITIKA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366</v>
      </c>
      <c r="D65" s="78">
        <f t="shared" si="1"/>
        <v>0</v>
      </c>
      <c r="E65" s="140">
        <f>SUMIFS('Plan rashoda za unos u SAP'!$I$3:$I$501,'Plan rashoda za unos u SAP'!$C$3:$C$501,"=11",'Plan rashoda za unos u SAP'!$M$3:$M$501,"=543")+SUMIFS('ANALITIKA EU PROJEKATA'!$G$3:$G$501,'ANALITIKA EU PROJEKATA'!$A$3:$A$501,"=11",'ANALITIKA EU PROJEKATA'!$P$3:$P$501,"=543")</f>
        <v>0</v>
      </c>
      <c r="F65" s="140">
        <f>SUMIFS('Plan rashoda za unos u SAP'!$I$3:$I$501,'Plan rashoda za unos u SAP'!$C$3:$C$501,"=12",'Plan rashoda za unos u SAP'!$M$3:$M$501,"=543")+SUMIFS('ANALITIKA EU PROJEKATA'!$G$3:$G$501,'ANALITIKA EU PROJEKATA'!$A$3:$A$501,"=12",'ANALITIKA EU PROJEKATA'!$P$3:$P$501,"=543")</f>
        <v>0</v>
      </c>
      <c r="G65" s="140">
        <f>SUMIFS('Plan rashoda za unos u SAP'!$I$3:$I$501,'Plan rashoda za unos u SAP'!$C$3:$C$501,"=31",'Plan rashoda za unos u SAP'!$M$3:$M$501,"=543")+SUMIFS('ANALITIKA EU PROJEKATA'!$G$3:$G$501,'ANALITIKA EU PROJEKATA'!$A$3:$A$501,"=31",'ANALITIKA EU PROJEKATA'!$P$3:$P$501,"=543")</f>
        <v>0</v>
      </c>
      <c r="H65" s="140">
        <f>SUMIFS('Plan rashoda za unos u SAP'!$I$3:$I$501,'Plan rashoda za unos u SAP'!$C$3:$C$501,"=41",'Plan rashoda za unos u SAP'!$M$3:$M$501,"=543")+SUMIFS('ANALITIKA EU PROJEKATA'!$G$3:$G$501,'ANALITIKA EU PROJEKATA'!$A$3:$A$501,"=41",'ANALITIKA EU PROJEKATA'!$P$3:$P$501,"=543")</f>
        <v>0</v>
      </c>
      <c r="I65" s="140">
        <f>SUMIFS('Plan rashoda za unos u SAP'!$I$3:$I$501,'Plan rashoda za unos u SAP'!$C$3:$C$501,"=43",'Plan rashoda za unos u SAP'!$M$3:$M$501,"=543")+SUMIFS('ANALITIKA EU PROJEKATA'!$G$3:$G$501,'ANALITIKA EU PROJEKATA'!$A$3:$A$501,"=43",'ANALITIKA EU PROJEKATA'!$P$3:$P$501,"=543")</f>
        <v>0</v>
      </c>
      <c r="J65" s="140">
        <f>SUMIFS('Plan rashoda za unos u SAP'!$I$3:$I$501,'Plan rashoda za unos u SAP'!$C$3:$C$501,"=51",'Plan rashoda za unos u SAP'!$M$3:$M$501,"=543")+SUMIFS('ANALITIKA EU PROJEKATA'!$G$3:$G$501,'ANALITIKA EU PROJEKATA'!$A$3:$A$501,"=51",'ANALITIKA EU PROJEKATA'!$P$3:$P$501,"=543")</f>
        <v>0</v>
      </c>
      <c r="K65" s="140">
        <f>SUMIFS('Plan rashoda za unos u SAP'!$I$3:$I$501,'Plan rashoda za unos u SAP'!$C$3:$C$501,"=52",'Plan rashoda za unos u SAP'!$M$3:$M$501,"=543")+SUMIFS('ANALITIKA EU PROJEKATA'!$G$3:$G$501,'ANALITIKA EU PROJEKATA'!$A$3:$A$501,"=52",'ANALITIKA EU PROJEKATA'!$P$3:$P$501,"=543")</f>
        <v>0</v>
      </c>
      <c r="L65" s="140">
        <f>SUMIFS('Plan rashoda za unos u SAP'!$I$3:$I$501,'Plan rashoda za unos u SAP'!$C$3:$C$501,"=552",'Plan rashoda za unos u SAP'!$M$3:$M$501,"=543")+SUMIFS('ANALITIKA EU PROJEKATA'!$G$3:$G$501,'ANALITIKA EU PROJEKATA'!$A$3:$A$501,"=552",'ANALITIKA EU PROJEKATA'!$P$3:$P$501,"=543")</f>
        <v>0</v>
      </c>
      <c r="M65" s="140">
        <f>SUMIFS('Plan rashoda za unos u SAP'!$I$3:$I$501,'Plan rashoda za unos u SAP'!$C$3:$C$501,"=559",'Plan rashoda za unos u SAP'!$M$3:$M$501,"=543")+SUMIFS('ANALITIKA EU PROJEKATA'!$G$3:$G$501,'ANALITIKA EU PROJEKATA'!$A$3:$A$501,"=559",'ANALITIKA EU PROJEKATA'!$P$3:$P$501,"=543")</f>
        <v>0</v>
      </c>
      <c r="N65" s="140">
        <f>SUMIFS('Plan rashoda za unos u SAP'!$I$3:$I$501,'Plan rashoda za unos u SAP'!$C$3:$C$501,"=561",'Plan rashoda za unos u SAP'!$M$3:$M$501,"=543")+SUMIFS('ANALITIKA EU PROJEKATA'!$G$3:$G$501,'ANALITIKA EU PROJEKATA'!$A$3:$A$501,"=561",'ANALITIKA EU PROJEKATA'!$P$3:$P$501,"=543")</f>
        <v>0</v>
      </c>
      <c r="O65" s="140">
        <f>SUMIFS('Plan rashoda za unos u SAP'!$I$3:$I$501,'Plan rashoda za unos u SAP'!$C$3:$C$501,"=563",'Plan rashoda za unos u SAP'!$M$3:$M$501,"=543")+SUMIFS('ANALITIKA EU PROJEKATA'!$G$3:$G$501,'ANALITIKA EU PROJEKATA'!$A$3:$A$501,"=563",'ANALITIKA EU PROJEKATA'!$P$3:$P$501,"=543")</f>
        <v>0</v>
      </c>
      <c r="P65" s="140">
        <f>SUMIFS('Plan rashoda za unos u SAP'!$I$3:$I$501,'Plan rashoda za unos u SAP'!$C$3:$C$501,"=573",'Plan rashoda za unos u SAP'!$M$3:$M$501,"=543")+SUMIFS('ANALITIKA EU PROJEKATA'!$G$3:$G$501,'ANALITIKA EU PROJEKATA'!$A$3:$A$501,"=573",'ANALITIKA EU PROJEKATA'!$P$3:$P$501,"=543")</f>
        <v>0</v>
      </c>
      <c r="Q65" s="140">
        <f>SUMIFS('Plan rashoda za unos u SAP'!$I$3:$I$501,'Plan rashoda za unos u SAP'!$C$3:$C$501,"=575",'Plan rashoda za unos u SAP'!$M$3:$M$501,"=543")+SUMIFS('ANALITIKA EU PROJEKATA'!$G$3:$G$501,'ANALITIKA EU PROJEKATA'!$A$3:$A$501,"=575",'ANALITIKA EU PROJEKATA'!$P$3:$P$501,"=543")</f>
        <v>0</v>
      </c>
      <c r="R65" s="140">
        <f>SUMIFS('Plan rashoda za unos u SAP'!$I$3:$I$501,'Plan rashoda za unos u SAP'!$C$3:$C$501,"=576",'Plan rashoda za unos u SAP'!$M$3:$M$501,"=543")+SUMIFS('ANALITIKA EU PROJEKATA'!$G$3:$G$501,'ANALITIKA EU PROJEKATA'!$A$3:$A$501,"=576",'ANALITIKA EU PROJEKATA'!$P$3:$P$501,"=543")</f>
        <v>0</v>
      </c>
      <c r="S65" s="140">
        <f>SUMIFS('Plan rashoda za unos u SAP'!$I$3:$I$501,'Plan rashoda za unos u SAP'!$C$3:$C$501,"=61",'Plan rashoda za unos u SAP'!$M$3:$M$501,"=543")+SUMIFS('ANALITIKA EU PROJEKATA'!$G$3:$G$501,'ANALITIKA EU PROJEKATA'!$A$3:$A$501,"=61",'ANALITIKA EU PROJEKATA'!$P$3:$P$501,"=543")</f>
        <v>0</v>
      </c>
      <c r="T65" s="140">
        <f>SUMIFS('Plan rashoda za unos u SAP'!$I$3:$I$501,'Plan rashoda za unos u SAP'!$C$3:$C$501,"=63",'Plan rashoda za unos u SAP'!$M$3:$M$501,"=543")+SUMIFS('ANALITIKA EU PROJEKATA'!$G$3:$G$501,'ANALITIKA EU PROJEKATA'!$A$3:$A$501,"=63",'ANALITIKA EU PROJEKATA'!$P$3:$P$501,"=543")</f>
        <v>0</v>
      </c>
      <c r="U65" s="140">
        <f>SUMIFS('Plan rashoda za unos u SAP'!$I$3:$I$501,'Plan rashoda za unos u SAP'!$C$3:$C$501,"=71",'Plan rashoda za unos u SAP'!$M$3:$M$501,"=543")+SUMIFS('ANALITIKA EU PROJEKATA'!$G$3:$G$501,'ANALITIKA EU PROJEKATA'!$A$3:$A$501,"=71",'ANALITIKA EU PROJEKATA'!$P$3:$P$501,"=543")</f>
        <v>0</v>
      </c>
      <c r="V65" s="140">
        <f>SUMIFS('Plan rashoda za unos u SAP'!$I$3:$I$501,'Plan rashoda za unos u SAP'!$C$3:$C$501,"=81",'Plan rashoda za unos u SAP'!$M$3:$M$501,"=543")+SUMIFS('ANALITIKA EU PROJEKATA'!$G$3:$G$501,'ANALITIKA EU PROJEKATA'!$A$3:$A$501,"=81",'ANALITIKA EU PROJEKATA'!$P$3:$P$501,"=543")</f>
        <v>0</v>
      </c>
      <c r="W65" s="140">
        <f>SUMIFS('Plan rashoda za unos u SAP'!$I$3:$I$501,'Plan rashoda za unos u SAP'!$C$3:$C$501,"=83",'Plan rashoda za unos u SAP'!$M$3:$M$501,"=543")+SUMIFS('ANALITIKA EU PROJEKATA'!$G$3:$G$501,'ANALITIKA EU PROJEKATA'!$A$3:$A$501,"=83",'ANALITIKA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367</v>
      </c>
      <c r="D66" s="78">
        <f t="shared" si="1"/>
        <v>0</v>
      </c>
      <c r="E66" s="140">
        <f>SUMIFS('Plan rashoda za unos u SAP'!$I$3:$I$501,'Plan rashoda za unos u SAP'!$C$3:$C$501,"=11",'Plan rashoda za unos u SAP'!$M$3:$M$501,"=544")+SUMIFS('ANALITIKA EU PROJEKATA'!$G$3:$G$501,'ANALITIKA EU PROJEKATA'!$A$3:$A$501,"=11",'ANALITIKA EU PROJEKATA'!$P$3:$P$501,"=544")</f>
        <v>0</v>
      </c>
      <c r="F66" s="140">
        <f>SUMIFS('Plan rashoda za unos u SAP'!$I$3:$I$501,'Plan rashoda za unos u SAP'!$C$3:$C$501,"=12",'Plan rashoda za unos u SAP'!$M$3:$M$501,"=544")+SUMIFS('ANALITIKA EU PROJEKATA'!$G$3:$G$501,'ANALITIKA EU PROJEKATA'!$A$3:$A$501,"=12",'ANALITIKA EU PROJEKATA'!$P$3:$P$501,"=544")</f>
        <v>0</v>
      </c>
      <c r="G66" s="140">
        <f>SUMIFS('Plan rashoda za unos u SAP'!$I$3:$I$501,'Plan rashoda za unos u SAP'!$C$3:$C$501,"=31",'Plan rashoda za unos u SAP'!$M$3:$M$501,"=544")+SUMIFS('ANALITIKA EU PROJEKATA'!$G$3:$G$501,'ANALITIKA EU PROJEKATA'!$A$3:$A$501,"=31",'ANALITIKA EU PROJEKATA'!$P$3:$P$501,"=544")</f>
        <v>0</v>
      </c>
      <c r="H66" s="140">
        <f>SUMIFS('Plan rashoda za unos u SAP'!$I$3:$I$501,'Plan rashoda za unos u SAP'!$C$3:$C$501,"=41",'Plan rashoda za unos u SAP'!$M$3:$M$501,"=544")+SUMIFS('ANALITIKA EU PROJEKATA'!$G$3:$G$501,'ANALITIKA EU PROJEKATA'!$A$3:$A$501,"=41",'ANALITIKA EU PROJEKATA'!$P$3:$P$501,"=544")</f>
        <v>0</v>
      </c>
      <c r="I66" s="140">
        <f>SUMIFS('Plan rashoda za unos u SAP'!$I$3:$I$501,'Plan rashoda za unos u SAP'!$C$3:$C$501,"=43",'Plan rashoda za unos u SAP'!$M$3:$M$501,"=544")+SUMIFS('ANALITIKA EU PROJEKATA'!$G$3:$G$501,'ANALITIKA EU PROJEKATA'!$A$3:$A$501,"=43",'ANALITIKA EU PROJEKATA'!$P$3:$P$501,"=544")</f>
        <v>0</v>
      </c>
      <c r="J66" s="140">
        <f>SUMIFS('Plan rashoda za unos u SAP'!$I$3:$I$501,'Plan rashoda za unos u SAP'!$C$3:$C$501,"=51",'Plan rashoda za unos u SAP'!$M$3:$M$501,"=544")+SUMIFS('ANALITIKA EU PROJEKATA'!$G$3:$G$501,'ANALITIKA EU PROJEKATA'!$A$3:$A$501,"=51",'ANALITIKA EU PROJEKATA'!$P$3:$P$501,"=544")</f>
        <v>0</v>
      </c>
      <c r="K66" s="140">
        <f>SUMIFS('Plan rashoda za unos u SAP'!$I$3:$I$501,'Plan rashoda za unos u SAP'!$C$3:$C$501,"=52",'Plan rashoda za unos u SAP'!$M$3:$M$501,"=544")+SUMIFS('ANALITIKA EU PROJEKATA'!$G$3:$G$501,'ANALITIKA EU PROJEKATA'!$A$3:$A$501,"=52",'ANALITIKA EU PROJEKATA'!$P$3:$P$501,"=544")</f>
        <v>0</v>
      </c>
      <c r="L66" s="140">
        <f>SUMIFS('Plan rashoda za unos u SAP'!$I$3:$I$501,'Plan rashoda za unos u SAP'!$C$3:$C$501,"=552",'Plan rashoda za unos u SAP'!$M$3:$M$501,"=544")+SUMIFS('ANALITIKA EU PROJEKATA'!$G$3:$G$501,'ANALITIKA EU PROJEKATA'!$A$3:$A$501,"=552",'ANALITIKA EU PROJEKATA'!$P$3:$P$501,"=544")</f>
        <v>0</v>
      </c>
      <c r="M66" s="140">
        <f>SUMIFS('Plan rashoda za unos u SAP'!$I$3:$I$501,'Plan rashoda za unos u SAP'!$C$3:$C$501,"=559",'Plan rashoda za unos u SAP'!$M$3:$M$501,"=544")+SUMIFS('ANALITIKA EU PROJEKATA'!$G$3:$G$501,'ANALITIKA EU PROJEKATA'!$A$3:$A$501,"=559",'ANALITIKA EU PROJEKATA'!$P$3:$P$501,"=544")</f>
        <v>0</v>
      </c>
      <c r="N66" s="140">
        <f>SUMIFS('Plan rashoda za unos u SAP'!$I$3:$I$501,'Plan rashoda za unos u SAP'!$C$3:$C$501,"=561",'Plan rashoda za unos u SAP'!$M$3:$M$501,"=544")+SUMIFS('ANALITIKA EU PROJEKATA'!$G$3:$G$501,'ANALITIKA EU PROJEKATA'!$A$3:$A$501,"=561",'ANALITIKA EU PROJEKATA'!$P$3:$P$501,"=544")</f>
        <v>0</v>
      </c>
      <c r="O66" s="140">
        <f>SUMIFS('Plan rashoda za unos u SAP'!$I$3:$I$501,'Plan rashoda za unos u SAP'!$C$3:$C$501,"=563",'Plan rashoda za unos u SAP'!$M$3:$M$501,"=544")+SUMIFS('ANALITIKA EU PROJEKATA'!$G$3:$G$501,'ANALITIKA EU PROJEKATA'!$A$3:$A$501,"=563",'ANALITIKA EU PROJEKATA'!$P$3:$P$501,"=544")</f>
        <v>0</v>
      </c>
      <c r="P66" s="140">
        <f>SUMIFS('Plan rashoda za unos u SAP'!$I$3:$I$501,'Plan rashoda za unos u SAP'!$C$3:$C$501,"=573",'Plan rashoda za unos u SAP'!$M$3:$M$501,"=544")+SUMIFS('ANALITIKA EU PROJEKATA'!$G$3:$G$501,'ANALITIKA EU PROJEKATA'!$A$3:$A$501,"=573",'ANALITIKA EU PROJEKATA'!$P$3:$P$501,"=544")</f>
        <v>0</v>
      </c>
      <c r="Q66" s="140">
        <f>SUMIFS('Plan rashoda za unos u SAP'!$I$3:$I$501,'Plan rashoda za unos u SAP'!$C$3:$C$501,"=575",'Plan rashoda za unos u SAP'!$M$3:$M$501,"=544")+SUMIFS('ANALITIKA EU PROJEKATA'!$G$3:$G$501,'ANALITIKA EU PROJEKATA'!$A$3:$A$501,"=575",'ANALITIKA EU PROJEKATA'!$P$3:$P$501,"=544")</f>
        <v>0</v>
      </c>
      <c r="R66" s="140">
        <f>SUMIFS('Plan rashoda za unos u SAP'!$I$3:$I$501,'Plan rashoda za unos u SAP'!$C$3:$C$501,"=576",'Plan rashoda za unos u SAP'!$M$3:$M$501,"=544")+SUMIFS('ANALITIKA EU PROJEKATA'!$G$3:$G$501,'ANALITIKA EU PROJEKATA'!$A$3:$A$501,"=576",'ANALITIKA EU PROJEKATA'!$P$3:$P$501,"=544")</f>
        <v>0</v>
      </c>
      <c r="S66" s="140">
        <f>SUMIFS('Plan rashoda za unos u SAP'!$I$3:$I$501,'Plan rashoda za unos u SAP'!$C$3:$C$501,"=61",'Plan rashoda za unos u SAP'!$M$3:$M$501,"=544")+SUMIFS('ANALITIKA EU PROJEKATA'!$G$3:$G$501,'ANALITIKA EU PROJEKATA'!$A$3:$A$501,"=61",'ANALITIKA EU PROJEKATA'!$P$3:$P$501,"=544")</f>
        <v>0</v>
      </c>
      <c r="T66" s="140">
        <f>SUMIFS('Plan rashoda za unos u SAP'!$I$3:$I$501,'Plan rashoda za unos u SAP'!$C$3:$C$501,"=63",'Plan rashoda za unos u SAP'!$M$3:$M$501,"=544")+SUMIFS('ANALITIKA EU PROJEKATA'!$G$3:$G$501,'ANALITIKA EU PROJEKATA'!$A$3:$A$501,"=63",'ANALITIKA EU PROJEKATA'!$P$3:$P$501,"=544")</f>
        <v>0</v>
      </c>
      <c r="U66" s="140">
        <f>SUMIFS('Plan rashoda za unos u SAP'!$I$3:$I$501,'Plan rashoda za unos u SAP'!$C$3:$C$501,"=71",'Plan rashoda za unos u SAP'!$M$3:$M$501,"=544")+SUMIFS('ANALITIKA EU PROJEKATA'!$G$3:$G$501,'ANALITIKA EU PROJEKATA'!$A$3:$A$501,"=71",'ANALITIKA EU PROJEKATA'!$P$3:$P$501,"=544")</f>
        <v>0</v>
      </c>
      <c r="V66" s="140">
        <f>SUMIFS('Plan rashoda za unos u SAP'!$I$3:$I$501,'Plan rashoda za unos u SAP'!$C$3:$C$501,"=81",'Plan rashoda za unos u SAP'!$M$3:$M$501,"=544")+SUMIFS('ANALITIKA EU PROJEKATA'!$G$3:$G$501,'ANALITIKA EU PROJEKATA'!$A$3:$A$501,"=81",'ANALITIKA EU PROJEKATA'!$P$3:$P$501,"=544")</f>
        <v>0</v>
      </c>
      <c r="W66" s="140">
        <f>SUMIFS('Plan rashoda za unos u SAP'!$I$3:$I$501,'Plan rashoda za unos u SAP'!$C$3:$C$501,"=83",'Plan rashoda za unos u SAP'!$M$3:$M$501,"=544")+SUMIFS('ANALITIKA EU PROJEKATA'!$G$3:$G$501,'ANALITIKA EU PROJEKATA'!$A$3:$A$501,"=83",'ANALITIKA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368</v>
      </c>
      <c r="D67" s="78">
        <f t="shared" si="1"/>
        <v>0</v>
      </c>
      <c r="E67" s="140">
        <f>SUMIFS('Plan rashoda za unos u SAP'!$I$3:$I$501,'Plan rashoda za unos u SAP'!$C$3:$C$501,"=11",'Plan rashoda za unos u SAP'!$M$3:$M$501,"=545")+SUMIFS('ANALITIKA EU PROJEKATA'!$G$3:$G$501,'ANALITIKA EU PROJEKATA'!$A$3:$A$501,"=11",'ANALITIKA EU PROJEKATA'!$P$3:$P$501,"=545")</f>
        <v>0</v>
      </c>
      <c r="F67" s="140">
        <f>SUMIFS('Plan rashoda za unos u SAP'!$I$3:$I$501,'Plan rashoda za unos u SAP'!$C$3:$C$501,"=12",'Plan rashoda za unos u SAP'!$M$3:$M$501,"=545")+SUMIFS('ANALITIKA EU PROJEKATA'!$G$3:$G$501,'ANALITIKA EU PROJEKATA'!$A$3:$A$501,"=12",'ANALITIKA EU PROJEKATA'!$P$3:$P$501,"=545")</f>
        <v>0</v>
      </c>
      <c r="G67" s="140">
        <f>SUMIFS('Plan rashoda za unos u SAP'!$I$3:$I$501,'Plan rashoda za unos u SAP'!$C$3:$C$501,"=31",'Plan rashoda za unos u SAP'!$M$3:$M$501,"=545")+SUMIFS('ANALITIKA EU PROJEKATA'!$G$3:$G$501,'ANALITIKA EU PROJEKATA'!$A$3:$A$501,"=31",'ANALITIKA EU PROJEKATA'!$P$3:$P$501,"=545")</f>
        <v>0</v>
      </c>
      <c r="H67" s="140">
        <f>SUMIFS('Plan rashoda za unos u SAP'!$I$3:$I$501,'Plan rashoda za unos u SAP'!$C$3:$C$501,"=41",'Plan rashoda za unos u SAP'!$M$3:$M$501,"=545")+SUMIFS('ANALITIKA EU PROJEKATA'!$G$3:$G$501,'ANALITIKA EU PROJEKATA'!$A$3:$A$501,"=41",'ANALITIKA EU PROJEKATA'!$P$3:$P$501,"=545")</f>
        <v>0</v>
      </c>
      <c r="I67" s="140">
        <f>SUMIFS('Plan rashoda za unos u SAP'!$I$3:$I$501,'Plan rashoda za unos u SAP'!$C$3:$C$501,"=43",'Plan rashoda za unos u SAP'!$M$3:$M$501,"=545")+SUMIFS('ANALITIKA EU PROJEKATA'!$G$3:$G$501,'ANALITIKA EU PROJEKATA'!$A$3:$A$501,"=43",'ANALITIKA EU PROJEKATA'!$P$3:$P$501,"=545")</f>
        <v>0</v>
      </c>
      <c r="J67" s="140">
        <f>SUMIFS('Plan rashoda za unos u SAP'!$I$3:$I$501,'Plan rashoda za unos u SAP'!$C$3:$C$501,"=51",'Plan rashoda za unos u SAP'!$M$3:$M$501,"=545")+SUMIFS('ANALITIKA EU PROJEKATA'!$G$3:$G$501,'ANALITIKA EU PROJEKATA'!$A$3:$A$501,"=51",'ANALITIKA EU PROJEKATA'!$P$3:$P$501,"=545")</f>
        <v>0</v>
      </c>
      <c r="K67" s="140">
        <f>SUMIFS('Plan rashoda za unos u SAP'!$I$3:$I$501,'Plan rashoda za unos u SAP'!$C$3:$C$501,"=52",'Plan rashoda za unos u SAP'!$M$3:$M$501,"=545")+SUMIFS('ANALITIKA EU PROJEKATA'!$G$3:$G$501,'ANALITIKA EU PROJEKATA'!$A$3:$A$501,"=52",'ANALITIKA EU PROJEKATA'!$P$3:$P$501,"=545")</f>
        <v>0</v>
      </c>
      <c r="L67" s="140">
        <f>SUMIFS('Plan rashoda za unos u SAP'!$I$3:$I$501,'Plan rashoda za unos u SAP'!$C$3:$C$501,"=552",'Plan rashoda za unos u SAP'!$M$3:$M$501,"=545")+SUMIFS('ANALITIKA EU PROJEKATA'!$G$3:$G$501,'ANALITIKA EU PROJEKATA'!$A$3:$A$501,"=552",'ANALITIKA EU PROJEKATA'!$P$3:$P$501,"=545")</f>
        <v>0</v>
      </c>
      <c r="M67" s="140">
        <f>SUMIFS('Plan rashoda za unos u SAP'!$I$3:$I$501,'Plan rashoda za unos u SAP'!$C$3:$C$501,"=559",'Plan rashoda za unos u SAP'!$M$3:$M$501,"=545")+SUMIFS('ANALITIKA EU PROJEKATA'!$G$3:$G$501,'ANALITIKA EU PROJEKATA'!$A$3:$A$501,"=559",'ANALITIKA EU PROJEKATA'!$P$3:$P$501,"=545")</f>
        <v>0</v>
      </c>
      <c r="N67" s="140">
        <f>SUMIFS('Plan rashoda za unos u SAP'!$I$3:$I$501,'Plan rashoda za unos u SAP'!$C$3:$C$501,"=561",'Plan rashoda za unos u SAP'!$M$3:$M$501,"=545")+SUMIFS('ANALITIKA EU PROJEKATA'!$G$3:$G$501,'ANALITIKA EU PROJEKATA'!$A$3:$A$501,"=561",'ANALITIKA EU PROJEKATA'!$P$3:$P$501,"=545")</f>
        <v>0</v>
      </c>
      <c r="O67" s="140">
        <f>SUMIFS('Plan rashoda za unos u SAP'!$I$3:$I$501,'Plan rashoda za unos u SAP'!$C$3:$C$501,"=563",'Plan rashoda za unos u SAP'!$M$3:$M$501,"=545")+SUMIFS('ANALITIKA EU PROJEKATA'!$G$3:$G$501,'ANALITIKA EU PROJEKATA'!$A$3:$A$501,"=563",'ANALITIKA EU PROJEKATA'!$P$3:$P$501,"=545")</f>
        <v>0</v>
      </c>
      <c r="P67" s="140">
        <f>SUMIFS('Plan rashoda za unos u SAP'!$I$3:$I$501,'Plan rashoda za unos u SAP'!$C$3:$C$501,"=573",'Plan rashoda za unos u SAP'!$M$3:$M$501,"=545")+SUMIFS('ANALITIKA EU PROJEKATA'!$G$3:$G$501,'ANALITIKA EU PROJEKATA'!$A$3:$A$501,"=573",'ANALITIKA EU PROJEKATA'!$P$3:$P$501,"=545")</f>
        <v>0</v>
      </c>
      <c r="Q67" s="140">
        <f>SUMIFS('Plan rashoda za unos u SAP'!$I$3:$I$501,'Plan rashoda za unos u SAP'!$C$3:$C$501,"=575",'Plan rashoda za unos u SAP'!$M$3:$M$501,"=545")+SUMIFS('ANALITIKA EU PROJEKATA'!$G$3:$G$501,'ANALITIKA EU PROJEKATA'!$A$3:$A$501,"=575",'ANALITIKA EU PROJEKATA'!$P$3:$P$501,"=545")</f>
        <v>0</v>
      </c>
      <c r="R67" s="140">
        <f>SUMIFS('Plan rashoda za unos u SAP'!$I$3:$I$501,'Plan rashoda za unos u SAP'!$C$3:$C$501,"=576",'Plan rashoda za unos u SAP'!$M$3:$M$501,"=545")+SUMIFS('ANALITIKA EU PROJEKATA'!$G$3:$G$501,'ANALITIKA EU PROJEKATA'!$A$3:$A$501,"=576",'ANALITIKA EU PROJEKATA'!$P$3:$P$501,"=545")</f>
        <v>0</v>
      </c>
      <c r="S67" s="140">
        <f>SUMIFS('Plan rashoda za unos u SAP'!$I$3:$I$501,'Plan rashoda za unos u SAP'!$C$3:$C$501,"=61",'Plan rashoda za unos u SAP'!$M$3:$M$501,"=545")+SUMIFS('ANALITIKA EU PROJEKATA'!$G$3:$G$501,'ANALITIKA EU PROJEKATA'!$A$3:$A$501,"=61",'ANALITIKA EU PROJEKATA'!$P$3:$P$501,"=545")</f>
        <v>0</v>
      </c>
      <c r="T67" s="140">
        <f>SUMIFS('Plan rashoda za unos u SAP'!$I$3:$I$501,'Plan rashoda za unos u SAP'!$C$3:$C$501,"=63",'Plan rashoda za unos u SAP'!$M$3:$M$501,"=545")+SUMIFS('ANALITIKA EU PROJEKATA'!$G$3:$G$501,'ANALITIKA EU PROJEKATA'!$A$3:$A$501,"=63",'ANALITIKA EU PROJEKATA'!$P$3:$P$501,"=545")</f>
        <v>0</v>
      </c>
      <c r="U67" s="140">
        <f>SUMIFS('Plan rashoda za unos u SAP'!$I$3:$I$501,'Plan rashoda za unos u SAP'!$C$3:$C$501,"=71",'Plan rashoda za unos u SAP'!$M$3:$M$501,"=545")+SUMIFS('ANALITIKA EU PROJEKATA'!$G$3:$G$501,'ANALITIKA EU PROJEKATA'!$A$3:$A$501,"=71",'ANALITIKA EU PROJEKATA'!$P$3:$P$501,"=545")</f>
        <v>0</v>
      </c>
      <c r="V67" s="140">
        <f>SUMIFS('Plan rashoda za unos u SAP'!$I$3:$I$501,'Plan rashoda za unos u SAP'!$C$3:$C$501,"=81",'Plan rashoda za unos u SAP'!$M$3:$M$501,"=545")+SUMIFS('ANALITIKA EU PROJEKATA'!$G$3:$G$501,'ANALITIKA EU PROJEKATA'!$A$3:$A$501,"=81",'ANALITIKA EU PROJEKATA'!$P$3:$P$501,"=545")</f>
        <v>0</v>
      </c>
      <c r="W67" s="140">
        <f>SUMIFS('Plan rashoda za unos u SAP'!$I$3:$I$501,'Plan rashoda za unos u SAP'!$C$3:$C$501,"=83",'Plan rashoda za unos u SAP'!$M$3:$M$501,"=545")+SUMIFS('ANALITIKA EU PROJEKATA'!$G$3:$G$501,'ANALITIKA EU PROJEKATA'!$A$3:$A$501,"=83",'ANALITIKA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369</v>
      </c>
      <c r="D68" s="78">
        <f>SUM(E68:W68)</f>
        <v>0</v>
      </c>
      <c r="E68" s="140">
        <f>SUMIFS('Plan rashoda za unos u SAP'!$I$3:$I$501,'Plan rashoda za unos u SAP'!$C$3:$C$501,"=11",'Plan rashoda za unos u SAP'!$M$3:$M$501,"=547")+SUMIFS('ANALITIKA EU PROJEKATA'!$G$3:$G$501,'ANALITIKA EU PROJEKATA'!$A$3:$A$501,"=11",'ANALITIKA EU PROJEKATA'!$P$3:$P$501,"=547")</f>
        <v>0</v>
      </c>
      <c r="F68" s="140">
        <f>SUMIFS('Plan rashoda za unos u SAP'!$I$3:$I$501,'Plan rashoda za unos u SAP'!$C$3:$C$501,"=12",'Plan rashoda za unos u SAP'!$M$3:$M$501,"=547")+SUMIFS('ANALITIKA EU PROJEKATA'!$G$3:$G$501,'ANALITIKA EU PROJEKATA'!$A$3:$A$501,"=12",'ANALITIKA EU PROJEKATA'!$P$3:$P$501,"=547")</f>
        <v>0</v>
      </c>
      <c r="G68" s="140">
        <f>SUMIFS('Plan rashoda za unos u SAP'!$I$3:$I$501,'Plan rashoda za unos u SAP'!$C$3:$C$501,"=31",'Plan rashoda za unos u SAP'!$M$3:$M$501,"=547")+SUMIFS('ANALITIKA EU PROJEKATA'!$G$3:$G$501,'ANALITIKA EU PROJEKATA'!$A$3:$A$501,"=31",'ANALITIKA EU PROJEKATA'!$P$3:$P$501,"=547")</f>
        <v>0</v>
      </c>
      <c r="H68" s="140">
        <f>SUMIFS('Plan rashoda za unos u SAP'!$I$3:$I$501,'Plan rashoda za unos u SAP'!$C$3:$C$501,"=41",'Plan rashoda za unos u SAP'!$M$3:$M$501,"=547")+SUMIFS('ANALITIKA EU PROJEKATA'!$G$3:$G$501,'ANALITIKA EU PROJEKATA'!$A$3:$A$501,"=41",'ANALITIKA EU PROJEKATA'!$P$3:$P$501,"=547")</f>
        <v>0</v>
      </c>
      <c r="I68" s="140">
        <f>SUMIFS('Plan rashoda za unos u SAP'!$I$3:$I$501,'Plan rashoda za unos u SAP'!$C$3:$C$501,"=43",'Plan rashoda za unos u SAP'!$M$3:$M$501,"=547")+SUMIFS('ANALITIKA EU PROJEKATA'!$G$3:$G$501,'ANALITIKA EU PROJEKATA'!$A$3:$A$501,"=43",'ANALITIKA EU PROJEKATA'!$P$3:$P$501,"=547")</f>
        <v>0</v>
      </c>
      <c r="J68" s="140">
        <f>SUMIFS('Plan rashoda za unos u SAP'!$I$3:$I$501,'Plan rashoda za unos u SAP'!$C$3:$C$501,"=51",'Plan rashoda za unos u SAP'!$M$3:$M$501,"=547")+SUMIFS('ANALITIKA EU PROJEKATA'!$G$3:$G$501,'ANALITIKA EU PROJEKATA'!$A$3:$A$501,"=51",'ANALITIKA EU PROJEKATA'!$P$3:$P$501,"=547")</f>
        <v>0</v>
      </c>
      <c r="K68" s="140">
        <f>SUMIFS('Plan rashoda za unos u SAP'!$I$3:$I$501,'Plan rashoda za unos u SAP'!$C$3:$C$501,"=52",'Plan rashoda za unos u SAP'!$M$3:$M$501,"=547")+SUMIFS('ANALITIKA EU PROJEKATA'!$G$3:$G$501,'ANALITIKA EU PROJEKATA'!$A$3:$A$501,"=52",'ANALITIKA EU PROJEKATA'!$P$3:$P$501,"=547")</f>
        <v>0</v>
      </c>
      <c r="L68" s="140">
        <f>SUMIFS('Plan rashoda za unos u SAP'!$I$3:$I$501,'Plan rashoda za unos u SAP'!$C$3:$C$501,"=552",'Plan rashoda za unos u SAP'!$M$3:$M$501,"=547")+SUMIFS('ANALITIKA EU PROJEKATA'!$G$3:$G$501,'ANALITIKA EU PROJEKATA'!$A$3:$A$501,"=552",'ANALITIKA EU PROJEKATA'!$P$3:$P$501,"=547")</f>
        <v>0</v>
      </c>
      <c r="M68" s="140">
        <f>SUMIFS('Plan rashoda za unos u SAP'!$I$3:$I$501,'Plan rashoda za unos u SAP'!$C$3:$C$501,"=559",'Plan rashoda za unos u SAP'!$M$3:$M$501,"=547")+SUMIFS('ANALITIKA EU PROJEKATA'!$G$3:$G$501,'ANALITIKA EU PROJEKATA'!$A$3:$A$501,"=559",'ANALITIKA EU PROJEKATA'!$P$3:$P$501,"=547")</f>
        <v>0</v>
      </c>
      <c r="N68" s="140">
        <f>SUMIFS('Plan rashoda za unos u SAP'!$I$3:$I$501,'Plan rashoda za unos u SAP'!$C$3:$C$501,"=561",'Plan rashoda za unos u SAP'!$M$3:$M$501,"=547")+SUMIFS('ANALITIKA EU PROJEKATA'!$G$3:$G$501,'ANALITIKA EU PROJEKATA'!$A$3:$A$501,"=561",'ANALITIKA EU PROJEKATA'!$P$3:$P$501,"=547")</f>
        <v>0</v>
      </c>
      <c r="O68" s="140">
        <f>SUMIFS('Plan rashoda za unos u SAP'!$I$3:$I$501,'Plan rashoda za unos u SAP'!$C$3:$C$501,"=563",'Plan rashoda za unos u SAP'!$M$3:$M$501,"=547")+SUMIFS('ANALITIKA EU PROJEKATA'!$G$3:$G$501,'ANALITIKA EU PROJEKATA'!$A$3:$A$501,"=563",'ANALITIKA EU PROJEKATA'!$P$3:$P$501,"=547")</f>
        <v>0</v>
      </c>
      <c r="P68" s="140">
        <f>SUMIFS('Plan rashoda za unos u SAP'!$I$3:$I$501,'Plan rashoda za unos u SAP'!$C$3:$C$501,"=573",'Plan rashoda za unos u SAP'!$M$3:$M$501,"=547")+SUMIFS('ANALITIKA EU PROJEKATA'!$G$3:$G$501,'ANALITIKA EU PROJEKATA'!$A$3:$A$501,"=573",'ANALITIKA EU PROJEKATA'!$P$3:$P$501,"=547")</f>
        <v>0</v>
      </c>
      <c r="Q68" s="140">
        <f>SUMIFS('Plan rashoda za unos u SAP'!$I$3:$I$501,'Plan rashoda za unos u SAP'!$C$3:$C$501,"=575",'Plan rashoda za unos u SAP'!$M$3:$M$501,"=547")+SUMIFS('ANALITIKA EU PROJEKATA'!$G$3:$G$501,'ANALITIKA EU PROJEKATA'!$A$3:$A$501,"=575",'ANALITIKA EU PROJEKATA'!$P$3:$P$501,"=547")</f>
        <v>0</v>
      </c>
      <c r="R68" s="140">
        <f>SUMIFS('Plan rashoda za unos u SAP'!$I$3:$I$501,'Plan rashoda za unos u SAP'!$C$3:$C$501,"=576",'Plan rashoda za unos u SAP'!$M$3:$M$501,"=547")+SUMIFS('ANALITIKA EU PROJEKATA'!$G$3:$G$501,'ANALITIKA EU PROJEKATA'!$A$3:$A$501,"=576",'ANALITIKA EU PROJEKATA'!$P$3:$P$501,"=547")</f>
        <v>0</v>
      </c>
      <c r="S68" s="140">
        <f>SUMIFS('Plan rashoda za unos u SAP'!$I$3:$I$501,'Plan rashoda za unos u SAP'!$C$3:$C$501,"=61",'Plan rashoda za unos u SAP'!$M$3:$M$501,"=547")+SUMIFS('ANALITIKA EU PROJEKATA'!$G$3:$G$501,'ANALITIKA EU PROJEKATA'!$A$3:$A$501,"=61",'ANALITIKA EU PROJEKATA'!$P$3:$P$501,"=547")</f>
        <v>0</v>
      </c>
      <c r="T68" s="140">
        <f>SUMIFS('Plan rashoda za unos u SAP'!$I$3:$I$501,'Plan rashoda za unos u SAP'!$C$3:$C$501,"=63",'Plan rashoda za unos u SAP'!$M$3:$M$501,"=547")+SUMIFS('ANALITIKA EU PROJEKATA'!$G$3:$G$501,'ANALITIKA EU PROJEKATA'!$A$3:$A$501,"=63",'ANALITIKA EU PROJEKATA'!$P$3:$P$501,"=547")</f>
        <v>0</v>
      </c>
      <c r="U68" s="140">
        <f>SUMIFS('Plan rashoda za unos u SAP'!$I$3:$I$501,'Plan rashoda za unos u SAP'!$C$3:$C$501,"=71",'Plan rashoda za unos u SAP'!$M$3:$M$501,"=547")+SUMIFS('ANALITIKA EU PROJEKATA'!$G$3:$G$501,'ANALITIKA EU PROJEKATA'!$A$3:$A$501,"=71",'ANALITIKA EU PROJEKATA'!$P$3:$P$501,"=547")</f>
        <v>0</v>
      </c>
      <c r="V68" s="140">
        <f>SUMIFS('Plan rashoda za unos u SAP'!$I$3:$I$501,'Plan rashoda za unos u SAP'!$C$3:$C$501,"=81",'Plan rashoda za unos u SAP'!$M$3:$M$501,"=547")+SUMIFS('ANALITIKA EU PROJEKATA'!$G$3:$G$501,'ANALITIKA EU PROJEKATA'!$A$3:$A$501,"=81",'ANALITIKA EU PROJEKATA'!$P$3:$P$501,"=547")</f>
        <v>0</v>
      </c>
      <c r="W68" s="140">
        <f>SUMIFS('Plan rashoda za unos u SAP'!$I$3:$I$501,'Plan rashoda za unos u SAP'!$C$3:$C$501,"=83",'Plan rashoda za unos u SAP'!$M$3:$M$501,"=547")+SUMIFS('ANALITIKA EU PROJEKATA'!$G$3:$G$501,'ANALITIKA EU PROJEKATA'!$A$3:$A$501,"=83",'ANALITIKA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5" customHeight="1">
      <c r="A70" s="93" t="s">
        <v>2139</v>
      </c>
      <c r="B70" s="93" t="s">
        <v>202</v>
      </c>
      <c r="C70" s="93" t="s">
        <v>203</v>
      </c>
      <c r="D70" s="2" t="s">
        <v>355</v>
      </c>
      <c r="E70" s="2" t="s">
        <v>40</v>
      </c>
      <c r="F70" s="2" t="s">
        <v>325</v>
      </c>
      <c r="G70" s="93" t="s">
        <v>19</v>
      </c>
      <c r="H70" s="93" t="s">
        <v>1560</v>
      </c>
      <c r="I70" s="93" t="s">
        <v>20</v>
      </c>
      <c r="J70" s="93" t="s">
        <v>273</v>
      </c>
      <c r="K70" s="93" t="s">
        <v>274</v>
      </c>
      <c r="L70" s="93" t="s">
        <v>1561</v>
      </c>
      <c r="M70" s="93" t="s">
        <v>275</v>
      </c>
      <c r="N70" s="93" t="s">
        <v>276</v>
      </c>
      <c r="O70" s="93" t="s">
        <v>277</v>
      </c>
      <c r="P70" s="93" t="s">
        <v>1562</v>
      </c>
      <c r="Q70" s="93" t="s">
        <v>1563</v>
      </c>
      <c r="R70" s="93" t="s">
        <v>2133</v>
      </c>
      <c r="S70" s="93" t="s">
        <v>278</v>
      </c>
      <c r="T70" s="93" t="s">
        <v>279</v>
      </c>
      <c r="U70" s="93" t="s">
        <v>1534</v>
      </c>
      <c r="V70" s="93" t="s">
        <v>1533</v>
      </c>
      <c r="W70" s="93" t="s">
        <v>1535</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359</v>
      </c>
      <c r="D71" s="120">
        <f>SUM(E71:W71)</f>
        <v>177130893</v>
      </c>
      <c r="E71" s="121">
        <f t="shared" ref="E71:V71" si="20">+E72+E80+E86</f>
        <v>156373015</v>
      </c>
      <c r="F71" s="121">
        <f t="shared" si="20"/>
        <v>0</v>
      </c>
      <c r="G71" s="121">
        <f t="shared" si="20"/>
        <v>9835000</v>
      </c>
      <c r="H71" s="121">
        <f>+H72+H80+H86</f>
        <v>0</v>
      </c>
      <c r="I71" s="121">
        <f t="shared" si="20"/>
        <v>7700000</v>
      </c>
      <c r="J71" s="121">
        <f t="shared" si="20"/>
        <v>3007878</v>
      </c>
      <c r="K71" s="121">
        <f t="shared" si="20"/>
        <v>100000</v>
      </c>
      <c r="L71" s="121">
        <f>+L72+L80+L86</f>
        <v>0</v>
      </c>
      <c r="M71" s="121">
        <f t="shared" si="20"/>
        <v>0</v>
      </c>
      <c r="N71" s="121">
        <f t="shared" si="20"/>
        <v>0</v>
      </c>
      <c r="O71" s="121">
        <f t="shared" si="20"/>
        <v>0</v>
      </c>
      <c r="P71" s="121">
        <f>+P72+P80+P86</f>
        <v>0</v>
      </c>
      <c r="Q71" s="121">
        <f>+Q72+Q80+Q86</f>
        <v>0</v>
      </c>
      <c r="R71" s="121">
        <f>+R72+R80+R86</f>
        <v>0</v>
      </c>
      <c r="S71" s="121">
        <f t="shared" si="20"/>
        <v>115000</v>
      </c>
      <c r="T71" s="121">
        <f t="shared" si="20"/>
        <v>0</v>
      </c>
      <c r="U71" s="121">
        <f t="shared" si="20"/>
        <v>0</v>
      </c>
      <c r="V71" s="121">
        <f t="shared" si="20"/>
        <v>0</v>
      </c>
      <c r="W71" s="121">
        <f>+W72+W80+W86</f>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204</v>
      </c>
      <c r="D72" s="124">
        <f t="shared" ref="D72:D88" si="21">SUM(E72:W72)</f>
        <v>174233327</v>
      </c>
      <c r="E72" s="130">
        <f t="shared" ref="E72:V72" si="22">SUM(E73:E79)</f>
        <v>154729570</v>
      </c>
      <c r="F72" s="130">
        <f t="shared" si="22"/>
        <v>0</v>
      </c>
      <c r="G72" s="130">
        <f t="shared" si="22"/>
        <v>9385000</v>
      </c>
      <c r="H72" s="130">
        <f>SUM(H73:H79)</f>
        <v>0</v>
      </c>
      <c r="I72" s="130">
        <f t="shared" si="22"/>
        <v>7030000</v>
      </c>
      <c r="J72" s="130">
        <f t="shared" si="22"/>
        <v>2973757</v>
      </c>
      <c r="K72" s="130">
        <f t="shared" si="22"/>
        <v>0</v>
      </c>
      <c r="L72" s="130">
        <f>SUM(L73:L79)</f>
        <v>0</v>
      </c>
      <c r="M72" s="130">
        <f t="shared" si="22"/>
        <v>0</v>
      </c>
      <c r="N72" s="130">
        <f t="shared" si="22"/>
        <v>0</v>
      </c>
      <c r="O72" s="130">
        <f t="shared" si="22"/>
        <v>0</v>
      </c>
      <c r="P72" s="130">
        <f>SUM(P73:P79)</f>
        <v>0</v>
      </c>
      <c r="Q72" s="130">
        <f>SUM(Q73:Q79)</f>
        <v>0</v>
      </c>
      <c r="R72" s="130">
        <f>SUM(R73:R79)</f>
        <v>0</v>
      </c>
      <c r="S72" s="130">
        <f t="shared" si="22"/>
        <v>115000</v>
      </c>
      <c r="T72" s="130">
        <f t="shared" si="22"/>
        <v>0</v>
      </c>
      <c r="U72" s="130">
        <f t="shared" si="22"/>
        <v>0</v>
      </c>
      <c r="V72" s="130">
        <f t="shared" si="22"/>
        <v>0</v>
      </c>
      <c r="W72" s="130">
        <f>SUM(W73:W79)</f>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205</v>
      </c>
      <c r="D73" s="132">
        <f t="shared" si="21"/>
        <v>145235500</v>
      </c>
      <c r="E73" s="140">
        <f>SUMIFS('Plan rashoda za unos u SAP'!$J$3:$J$501,'Plan rashoda za unos u SAP'!$C$3:$C$501,"=11",'Plan rashoda za unos u SAP'!$N$3:$N$501,"=31")+SUMIFS('ANALITIKA EU PROJEKATA'!$H$3:$H$501,'ANALITIKA EU PROJEKATA'!$A$3:$A$501,"=11",'ANALITIKA EU PROJEKATA'!$Q$3:$Q$501,"=31")</f>
        <v>137385500</v>
      </c>
      <c r="F73" s="140">
        <f>SUMIFS('Plan rashoda za unos u SAP'!$J$3:$J$501,'Plan rashoda za unos u SAP'!$C$3:$C$501,"=12",'Plan rashoda za unos u SAP'!$N$3:$N$501,"=31")+SUMIFS('ANALITIKA EU PROJEKATA'!$H$3:$H$501,'ANALITIKA EU PROJEKATA'!$A$3:$A$501,"=12",'ANALITIKA EU PROJEKATA'!$Q$3:$Q$501,"=31")</f>
        <v>0</v>
      </c>
      <c r="G73" s="140">
        <f>SUMIFS('Plan rashoda za unos u SAP'!$J$3:$J$501,'Plan rashoda za unos u SAP'!$C$3:$C$501,"=31",'Plan rashoda za unos u SAP'!$N$3:$N$501,"=31")+SUMIFS('ANALITIKA EU PROJEKATA'!$H$3:$H$501,'ANALITIKA EU PROJEKATA'!$A$3:$A$501,"=31",'ANALITIKA EU PROJEKATA'!$Q$3:$Q$501,"=31")</f>
        <v>4620000</v>
      </c>
      <c r="H73" s="140">
        <f>SUMIFS('Plan rashoda za unos u SAP'!$J$3:$J$501,'Plan rashoda za unos u SAP'!$C$3:$C$501,"=41",'Plan rashoda za unos u SAP'!$N$3:$N$501,"=31")+SUMIFS('ANALITIKA EU PROJEKATA'!$H$3:$H$501,'ANALITIKA EU PROJEKATA'!$A$3:$A$501,"=41",'ANALITIKA EU PROJEKATA'!$Q$3:$Q$501,"=31")</f>
        <v>0</v>
      </c>
      <c r="I73" s="140">
        <f>SUMIFS('Plan rashoda za unos u SAP'!$J$3:$J$501,'Plan rashoda za unos u SAP'!$C$3:$C$501,"=43",'Plan rashoda za unos u SAP'!$N$3:$N$501,"=31")+SUMIFS('ANALITIKA EU PROJEKATA'!$H$3:$H$501,'ANALITIKA EU PROJEKATA'!$A$3:$A$501,"=43",'ANALITIKA EU PROJEKATA'!$Q$3:$Q$501,"=31")</f>
        <v>2350000</v>
      </c>
      <c r="J73" s="140">
        <f>SUMIFS('Plan rashoda za unos u SAP'!$J$3:$J$501,'Plan rashoda za unos u SAP'!$C$3:$C$501,"=51",'Plan rashoda za unos u SAP'!$N$3:$N$501,"=31")+SUMIFS('ANALITIKA EU PROJEKATA'!$H$3:$H$501,'ANALITIKA EU PROJEKATA'!$A$3:$A$501,"=51",'ANALITIKA EU PROJEKATA'!$Q$3:$Q$501,"=31")</f>
        <v>765000</v>
      </c>
      <c r="K73" s="140">
        <f>SUMIFS('Plan rashoda za unos u SAP'!$J$3:$J$501,'Plan rashoda za unos u SAP'!$C$3:$C$501,"=52",'Plan rashoda za unos u SAP'!$N$3:$N$501,"=31")+SUMIFS('ANALITIKA EU PROJEKATA'!$H$3:$H$501,'ANALITIKA EU PROJEKATA'!$A$3:$A$501,"=52",'ANALITIKA EU PROJEKATA'!$Q$3:$Q$501,"=31")</f>
        <v>0</v>
      </c>
      <c r="L73" s="140">
        <f>SUMIFS('Plan rashoda za unos u SAP'!$J$3:$J$501,'Plan rashoda za unos u SAP'!$C$3:$C$501,"=552",'Plan rashoda za unos u SAP'!$N$3:$N$501,"=31")+SUMIFS('ANALITIKA EU PROJEKATA'!$H$3:$H$501,'ANALITIKA EU PROJEKATA'!$A$3:$A$501,"=552",'ANALITIKA EU PROJEKATA'!$Q$3:$Q$501,"=31")</f>
        <v>0</v>
      </c>
      <c r="M73" s="140">
        <f>SUMIFS('Plan rashoda za unos u SAP'!$J$3:$J$501,'Plan rashoda za unos u SAP'!$C$3:$C$501,"=559",'Plan rashoda za unos u SAP'!$N$3:$N$501,"=31")+SUMIFS('ANALITIKA EU PROJEKATA'!$H$3:$H$501,'ANALITIKA EU PROJEKATA'!$A$3:$A$501,"=559",'ANALITIKA EU PROJEKATA'!$Q$3:$Q$501,"=31")</f>
        <v>0</v>
      </c>
      <c r="N73" s="140">
        <f>SUMIFS('Plan rashoda za unos u SAP'!$J$3:$J$501,'Plan rashoda za unos u SAP'!$C$3:$C$501,"=561",'Plan rashoda za unos u SAP'!$N$3:$N$501,"=31")+SUMIFS('ANALITIKA EU PROJEKATA'!$H$3:$H$501,'ANALITIKA EU PROJEKATA'!$A$3:$A$501,"=561",'ANALITIKA EU PROJEKATA'!$Q$3:$Q$501,"=31")</f>
        <v>0</v>
      </c>
      <c r="O73" s="140">
        <f>SUMIFS('Plan rashoda za unos u SAP'!$J$3:$J$501,'Plan rashoda za unos u SAP'!$C$3:$C$501,"=563",'Plan rashoda za unos u SAP'!$N$3:$N$501,"=31")+SUMIFS('ANALITIKA EU PROJEKATA'!$H$3:$H$501,'ANALITIKA EU PROJEKATA'!$A$3:$A$501,"=563",'ANALITIKA EU PROJEKATA'!$Q$3:$Q$501,"=31")</f>
        <v>0</v>
      </c>
      <c r="P73" s="140">
        <f>SUMIFS('Plan rashoda za unos u SAP'!$J$3:$J$501,'Plan rashoda za unos u SAP'!$C$3:$C$501,"=573",'Plan rashoda za unos u SAP'!$N$3:$N$501,"=31")+SUMIFS('ANALITIKA EU PROJEKATA'!$H$3:$H$501,'ANALITIKA EU PROJEKATA'!$A$3:$A$501,"=573",'ANALITIKA EU PROJEKATA'!$Q$3:$Q$501,"=31")</f>
        <v>0</v>
      </c>
      <c r="Q73" s="140">
        <f>SUMIFS('Plan rashoda za unos u SAP'!$J$3:$J$501,'Plan rashoda za unos u SAP'!$C$3:$C$501,"=575",'Plan rashoda za unos u SAP'!$N$3:$N$501,"=31")+SUMIFS('ANALITIKA EU PROJEKATA'!$H$3:$H$501,'ANALITIKA EU PROJEKATA'!$A$3:$A$501,"=575",'ANALITIKA EU PROJEKATA'!$Q$3:$Q$501,"=31")</f>
        <v>0</v>
      </c>
      <c r="R73" s="140">
        <f>SUMIFS('Plan rashoda za unos u SAP'!$J$3:$J$501,'Plan rashoda za unos u SAP'!$C$3:$C$501,"=576",'Plan rashoda za unos u SAP'!$N$3:$N$501,"=31")+SUMIFS('ANALITIKA EU PROJEKATA'!$H$3:$H$501,'ANALITIKA EU PROJEKATA'!$A$3:$A$501,"=576",'ANALITIKA EU PROJEKATA'!$Q$3:$Q$501,"=31")</f>
        <v>0</v>
      </c>
      <c r="S73" s="140">
        <f>SUMIFS('Plan rashoda za unos u SAP'!$J$3:$J$501,'Plan rashoda za unos u SAP'!$C$3:$C$501,"=61",'Plan rashoda za unos u SAP'!$N$3:$N$501,"=31")+SUMIFS('ANALITIKA EU PROJEKATA'!$H$3:$H$501,'ANALITIKA EU PROJEKATA'!$A$3:$A$501,"=61",'ANALITIKA EU PROJEKATA'!$Q$3:$Q$501,"=31")</f>
        <v>115000</v>
      </c>
      <c r="T73" s="140">
        <f>SUMIFS('Plan rashoda za unos u SAP'!$J$3:$J$501,'Plan rashoda za unos u SAP'!$C$3:$C$501,"=63",'Plan rashoda za unos u SAP'!$N$3:$N$501,"=31")+SUMIFS('ANALITIKA EU PROJEKATA'!$H$3:$H$501,'ANALITIKA EU PROJEKATA'!$A$3:$A$501,"=63",'ANALITIKA EU PROJEKATA'!$Q$3:$Q$501,"=31")</f>
        <v>0</v>
      </c>
      <c r="U73" s="140">
        <f>SUMIFS('Plan rashoda za unos u SAP'!$J$3:$J$501,'Plan rashoda za unos u SAP'!$C$3:$C$501,"=71",'Plan rashoda za unos u SAP'!$N$3:$N$501,"=31")+SUMIFS('ANALITIKA EU PROJEKATA'!$H$3:$H$501,'ANALITIKA EU PROJEKATA'!$A$3:$A$501,"=71",'ANALITIKA EU PROJEKATA'!$Q$3:$Q$501,"=31")</f>
        <v>0</v>
      </c>
      <c r="V73" s="140">
        <f>SUMIFS('Plan rashoda za unos u SAP'!$J$3:$J$501,'Plan rashoda za unos u SAP'!$C$3:$C$501,"=81",'Plan rashoda za unos u SAP'!$N$3:$N$501,"=31")+SUMIFS('ANALITIKA EU PROJEKATA'!$H$3:$H$501,'ANALITIKA EU PROJEKATA'!$A$3:$A$501,"=81",'ANALITIKA EU PROJEKATA'!$Q$3:$Q$501,"=31")</f>
        <v>0</v>
      </c>
      <c r="W73" s="140">
        <f>SUMIFS('Plan rashoda za unos u SAP'!$J$3:$J$501,'Plan rashoda za unos u SAP'!$C$3:$C$501,"=83",'Plan rashoda za unos u SAP'!$N$3:$N$501,"=31")+SUMIFS('ANALITIKA EU PROJEKATA'!$H$3:$H$501,'ANALITIKA EU PROJEKATA'!$A$3:$A$501,"=83",'ANALITIKA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206</v>
      </c>
      <c r="D74" s="133">
        <f t="shared" si="21"/>
        <v>28777827</v>
      </c>
      <c r="E74" s="140">
        <f>SUMIFS('Plan rashoda za unos u SAP'!$J$3:$J$501,'Plan rashoda za unos u SAP'!$C$3:$C$501,"=11",'Plan rashoda za unos u SAP'!$N$3:$N$501,"=32")+SUMIFS('ANALITIKA EU PROJEKATA'!$H$3:$H$501,'ANALITIKA EU PROJEKATA'!$A$3:$A$501,"=11",'ANALITIKA EU PROJEKATA'!$Q$3:$Q$501,"=32")</f>
        <v>17344070</v>
      </c>
      <c r="F74" s="140">
        <f>SUMIFS('Plan rashoda za unos u SAP'!$J$3:$J$501,'Plan rashoda za unos u SAP'!$C$3:$C$501,"=12",'Plan rashoda za unos u SAP'!$N$3:$N$501,"=32")+SUMIFS('ANALITIKA EU PROJEKATA'!$H$3:$H$501,'ANALITIKA EU PROJEKATA'!$A$3:$A$501,"=12",'ANALITIKA EU PROJEKATA'!$Q$3:$Q$501,"=32")</f>
        <v>0</v>
      </c>
      <c r="G74" s="140">
        <f>SUMIFS('Plan rashoda za unos u SAP'!$J$3:$J$501,'Plan rashoda za unos u SAP'!$C$3:$C$501,"=31",'Plan rashoda za unos u SAP'!$N$3:$N$501,"=32")+SUMIFS('ANALITIKA EU PROJEKATA'!$H$3:$H$501,'ANALITIKA EU PROJEKATA'!$A$3:$A$501,"=31",'ANALITIKA EU PROJEKATA'!$Q$3:$Q$501,"=32")</f>
        <v>4605000</v>
      </c>
      <c r="H74" s="140">
        <f>SUMIFS('Plan rashoda za unos u SAP'!$J$3:$J$501,'Plan rashoda za unos u SAP'!$C$3:$C$501,"=41",'Plan rashoda za unos u SAP'!$N$3:$N$501,"=32")+SUMIFS('ANALITIKA EU PROJEKATA'!$H$3:$H$501,'ANALITIKA EU PROJEKATA'!$A$3:$A$501,"=41",'ANALITIKA EU PROJEKATA'!$Q$3:$Q$501,"=32")</f>
        <v>0</v>
      </c>
      <c r="I74" s="140">
        <f>SUMIFS('Plan rashoda za unos u SAP'!$J$3:$J$501,'Plan rashoda za unos u SAP'!$C$3:$C$501,"=43",'Plan rashoda za unos u SAP'!$N$3:$N$501,"=32")+SUMIFS('ANALITIKA EU PROJEKATA'!$H$3:$H$501,'ANALITIKA EU PROJEKATA'!$A$3:$A$501,"=43",'ANALITIKA EU PROJEKATA'!$Q$3:$Q$501,"=32")</f>
        <v>4620000</v>
      </c>
      <c r="J74" s="140">
        <f>SUMIFS('Plan rashoda za unos u SAP'!$J$3:$J$501,'Plan rashoda za unos u SAP'!$C$3:$C$501,"=51",'Plan rashoda za unos u SAP'!$N$3:$N$501,"=32")+SUMIFS('ANALITIKA EU PROJEKATA'!$H$3:$H$501,'ANALITIKA EU PROJEKATA'!$A$3:$A$501,"=51",'ANALITIKA EU PROJEKATA'!$Q$3:$Q$501,"=32")</f>
        <v>2208757</v>
      </c>
      <c r="K74" s="140">
        <f>SUMIFS('Plan rashoda za unos u SAP'!$J$3:$J$501,'Plan rashoda za unos u SAP'!$C$3:$C$501,"=52",'Plan rashoda za unos u SAP'!$N$3:$N$501,"=32")+SUMIFS('ANALITIKA EU PROJEKATA'!$H$3:$H$501,'ANALITIKA EU PROJEKATA'!$A$3:$A$501,"=52",'ANALITIKA EU PROJEKATA'!$Q$3:$Q$501,"=32")</f>
        <v>0</v>
      </c>
      <c r="L74" s="140">
        <f>SUMIFS('Plan rashoda za unos u SAP'!$J$3:$J$501,'Plan rashoda za unos u SAP'!$C$3:$C$501,"=552",'Plan rashoda za unos u SAP'!$N$3:$N$501,"=32")+SUMIFS('ANALITIKA EU PROJEKATA'!$H$3:$H$501,'ANALITIKA EU PROJEKATA'!$A$3:$A$501,"=552",'ANALITIKA EU PROJEKATA'!$Q$3:$Q$501,"=32")</f>
        <v>0</v>
      </c>
      <c r="M74" s="140">
        <f>SUMIFS('Plan rashoda za unos u SAP'!$J$3:$J$501,'Plan rashoda za unos u SAP'!$C$3:$C$501,"=559",'Plan rashoda za unos u SAP'!$N$3:$N$501,"=32")+SUMIFS('ANALITIKA EU PROJEKATA'!$H$3:$H$501,'ANALITIKA EU PROJEKATA'!$A$3:$A$501,"=559",'ANALITIKA EU PROJEKATA'!$Q$3:$Q$501,"=32")</f>
        <v>0</v>
      </c>
      <c r="N74" s="140">
        <f>SUMIFS('Plan rashoda za unos u SAP'!$J$3:$J$501,'Plan rashoda za unos u SAP'!$C$3:$C$501,"=561",'Plan rashoda za unos u SAP'!$N$3:$N$501,"=32")+SUMIFS('ANALITIKA EU PROJEKATA'!$H$3:$H$501,'ANALITIKA EU PROJEKATA'!$A$3:$A$501,"=561",'ANALITIKA EU PROJEKATA'!$Q$3:$Q$501,"=32")</f>
        <v>0</v>
      </c>
      <c r="O74" s="140">
        <f>SUMIFS('Plan rashoda za unos u SAP'!$J$3:$J$501,'Plan rashoda za unos u SAP'!$C$3:$C$501,"=563",'Plan rashoda za unos u SAP'!$N$3:$N$501,"=32")+SUMIFS('ANALITIKA EU PROJEKATA'!$H$3:$H$501,'ANALITIKA EU PROJEKATA'!$A$3:$A$501,"=563",'ANALITIKA EU PROJEKATA'!$Q$3:$Q$501,"=32")</f>
        <v>0</v>
      </c>
      <c r="P74" s="140">
        <f>SUMIFS('Plan rashoda za unos u SAP'!$J$3:$J$501,'Plan rashoda za unos u SAP'!$C$3:$C$501,"=573",'Plan rashoda za unos u SAP'!$N$3:$N$501,"=32")+SUMIFS('ANALITIKA EU PROJEKATA'!$H$3:$H$501,'ANALITIKA EU PROJEKATA'!$A$3:$A$501,"=573",'ANALITIKA EU PROJEKATA'!$Q$3:$Q$501,"=32")</f>
        <v>0</v>
      </c>
      <c r="Q74" s="140">
        <f>SUMIFS('Plan rashoda za unos u SAP'!$J$3:$J$501,'Plan rashoda za unos u SAP'!$C$3:$C$501,"=575",'Plan rashoda za unos u SAP'!$N$3:$N$501,"=32")+SUMIFS('ANALITIKA EU PROJEKATA'!$H$3:$H$501,'ANALITIKA EU PROJEKATA'!$A$3:$A$501,"=575",'ANALITIKA EU PROJEKATA'!$Q$3:$Q$501,"=32")</f>
        <v>0</v>
      </c>
      <c r="R74" s="140">
        <f>SUMIFS('Plan rashoda za unos u SAP'!$J$3:$J$501,'Plan rashoda za unos u SAP'!$C$3:$C$501,"=576",'Plan rashoda za unos u SAP'!$N$3:$N$501,"=32")+SUMIFS('ANALITIKA EU PROJEKATA'!$H$3:$H$501,'ANALITIKA EU PROJEKATA'!$A$3:$A$501,"=576",'ANALITIKA EU PROJEKATA'!$Q$3:$Q$501,"=32")</f>
        <v>0</v>
      </c>
      <c r="S74" s="140">
        <f>SUMIFS('Plan rashoda za unos u SAP'!$J$3:$J$501,'Plan rashoda za unos u SAP'!$C$3:$C$501,"=61",'Plan rashoda za unos u SAP'!$N$3:$N$501,"=32")+SUMIFS('ANALITIKA EU PROJEKATA'!$H$3:$H$501,'ANALITIKA EU PROJEKATA'!$A$3:$A$501,"=61",'ANALITIKA EU PROJEKATA'!$Q$3:$Q$501,"=32")</f>
        <v>0</v>
      </c>
      <c r="T74" s="140">
        <f>SUMIFS('Plan rashoda za unos u SAP'!$J$3:$J$501,'Plan rashoda za unos u SAP'!$C$3:$C$501,"=63",'Plan rashoda za unos u SAP'!$N$3:$N$501,"=32")+SUMIFS('ANALITIKA EU PROJEKATA'!$H$3:$H$501,'ANALITIKA EU PROJEKATA'!$A$3:$A$501,"=63",'ANALITIKA EU PROJEKATA'!$Q$3:$Q$501,"=32")</f>
        <v>0</v>
      </c>
      <c r="U74" s="140">
        <f>SUMIFS('Plan rashoda za unos u SAP'!$J$3:$J$501,'Plan rashoda za unos u SAP'!$C$3:$C$501,"=71",'Plan rashoda za unos u SAP'!$N$3:$N$501,"=32")+SUMIFS('ANALITIKA EU PROJEKATA'!$H$3:$H$501,'ANALITIKA EU PROJEKATA'!$A$3:$A$501,"=71",'ANALITIKA EU PROJEKATA'!$Q$3:$Q$501,"=32")</f>
        <v>0</v>
      </c>
      <c r="V74" s="140">
        <f>SUMIFS('Plan rashoda za unos u SAP'!$J$3:$J$501,'Plan rashoda za unos u SAP'!$C$3:$C$501,"=81",'Plan rashoda za unos u SAP'!$N$3:$N$501,"=32")+SUMIFS('ANALITIKA EU PROJEKATA'!$H$3:$H$501,'ANALITIKA EU PROJEKATA'!$A$3:$A$501,"=81",'ANALITIKA EU PROJEKATA'!$Q$3:$Q$501,"=32")</f>
        <v>0</v>
      </c>
      <c r="W74" s="140">
        <f>SUMIFS('Plan rashoda za unos u SAP'!$J$3:$J$501,'Plan rashoda za unos u SAP'!$C$3:$C$501,"=83",'Plan rashoda za unos u SAP'!$N$3:$N$501,"=32")+SUMIFS('ANALITIKA EU PROJEKATA'!$H$3:$H$501,'ANALITIKA EU PROJEKATA'!$A$3:$A$501,"=83",'ANALITIKA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210</v>
      </c>
      <c r="D75" s="133">
        <f t="shared" si="21"/>
        <v>90000</v>
      </c>
      <c r="E75" s="140">
        <f>SUMIFS('Plan rashoda za unos u SAP'!$J$3:$J$501,'Plan rashoda za unos u SAP'!$C$3:$C$501,"=11",'Plan rashoda za unos u SAP'!$N$3:$N$501,"=34")+SUMIFS('ANALITIKA EU PROJEKATA'!$H$3:$H$501,'ANALITIKA EU PROJEKATA'!$A$3:$A$501,"=11",'ANALITIKA EU PROJEKATA'!$Q$3:$Q$501,"=34")</f>
        <v>0</v>
      </c>
      <c r="F75" s="140">
        <f>SUMIFS('Plan rashoda za unos u SAP'!$J$3:$J$501,'Plan rashoda za unos u SAP'!$C$3:$C$501,"=12",'Plan rashoda za unos u SAP'!$N$3:$N$501,"=34")+SUMIFS('ANALITIKA EU PROJEKATA'!$H$3:$H$501,'ANALITIKA EU PROJEKATA'!$A$3:$A$501,"=12",'ANALITIKA EU PROJEKATA'!$Q$3:$Q$501,"=34")</f>
        <v>0</v>
      </c>
      <c r="G75" s="140">
        <f>SUMIFS('Plan rashoda za unos u SAP'!$J$3:$J$501,'Plan rashoda za unos u SAP'!$C$3:$C$501,"=31",'Plan rashoda za unos u SAP'!$N$3:$N$501,"=34")+SUMIFS('ANALITIKA EU PROJEKATA'!$H$3:$H$501,'ANALITIKA EU PROJEKATA'!$A$3:$A$501,"=31",'ANALITIKA EU PROJEKATA'!$Q$3:$Q$501,"=34")</f>
        <v>30000</v>
      </c>
      <c r="H75" s="140">
        <f>SUMIFS('Plan rashoda za unos u SAP'!$J$3:$J$501,'Plan rashoda za unos u SAP'!$C$3:$C$501,"=41",'Plan rashoda za unos u SAP'!$N$3:$N$501,"=34")+SUMIFS('ANALITIKA EU PROJEKATA'!$H$3:$H$501,'ANALITIKA EU PROJEKATA'!$A$3:$A$501,"=41",'ANALITIKA EU PROJEKATA'!$Q$3:$Q$501,"=34")</f>
        <v>0</v>
      </c>
      <c r="I75" s="140">
        <f>SUMIFS('Plan rashoda za unos u SAP'!$J$3:$J$501,'Plan rashoda za unos u SAP'!$C$3:$C$501,"=43",'Plan rashoda za unos u SAP'!$N$3:$N$501,"=34")+SUMIFS('ANALITIKA EU PROJEKATA'!$H$3:$H$501,'ANALITIKA EU PROJEKATA'!$A$3:$A$501,"=43",'ANALITIKA EU PROJEKATA'!$Q$3:$Q$501,"=34")</f>
        <v>60000</v>
      </c>
      <c r="J75" s="140">
        <f>SUMIFS('Plan rashoda za unos u SAP'!$J$3:$J$501,'Plan rashoda za unos u SAP'!$C$3:$C$501,"=51",'Plan rashoda za unos u SAP'!$N$3:$N$501,"=34")+SUMIFS('ANALITIKA EU PROJEKATA'!$H$3:$H$501,'ANALITIKA EU PROJEKATA'!$A$3:$A$501,"=51",'ANALITIKA EU PROJEKATA'!$Q$3:$Q$501,"=34")</f>
        <v>0</v>
      </c>
      <c r="K75" s="140">
        <f>SUMIFS('Plan rashoda za unos u SAP'!$J$3:$J$501,'Plan rashoda za unos u SAP'!$C$3:$C$501,"=52",'Plan rashoda za unos u SAP'!$N$3:$N$501,"=34")+SUMIFS('ANALITIKA EU PROJEKATA'!$H$3:$H$501,'ANALITIKA EU PROJEKATA'!$A$3:$A$501,"=52",'ANALITIKA EU PROJEKATA'!$Q$3:$Q$501,"=34")</f>
        <v>0</v>
      </c>
      <c r="L75" s="140">
        <f>SUMIFS('Plan rashoda za unos u SAP'!$J$3:$J$501,'Plan rashoda za unos u SAP'!$C$3:$C$501,"=552",'Plan rashoda za unos u SAP'!$N$3:$N$501,"=34")+SUMIFS('ANALITIKA EU PROJEKATA'!$H$3:$H$501,'ANALITIKA EU PROJEKATA'!$A$3:$A$501,"=552",'ANALITIKA EU PROJEKATA'!$Q$3:$Q$501,"=34")</f>
        <v>0</v>
      </c>
      <c r="M75" s="140">
        <f>SUMIFS('Plan rashoda za unos u SAP'!$J$3:$J$501,'Plan rashoda za unos u SAP'!$C$3:$C$501,"=559",'Plan rashoda za unos u SAP'!$N$3:$N$501,"=34")+SUMIFS('ANALITIKA EU PROJEKATA'!$H$3:$H$501,'ANALITIKA EU PROJEKATA'!$A$3:$A$501,"=559",'ANALITIKA EU PROJEKATA'!$Q$3:$Q$501,"=34")</f>
        <v>0</v>
      </c>
      <c r="N75" s="140">
        <f>SUMIFS('Plan rashoda za unos u SAP'!$J$3:$J$501,'Plan rashoda za unos u SAP'!$C$3:$C$501,"=561",'Plan rashoda za unos u SAP'!$N$3:$N$501,"=34")+SUMIFS('ANALITIKA EU PROJEKATA'!$H$3:$H$501,'ANALITIKA EU PROJEKATA'!$A$3:$A$501,"=561",'ANALITIKA EU PROJEKATA'!$Q$3:$Q$501,"=34")</f>
        <v>0</v>
      </c>
      <c r="O75" s="140">
        <f>SUMIFS('Plan rashoda za unos u SAP'!$J$3:$J$501,'Plan rashoda za unos u SAP'!$C$3:$C$501,"=563",'Plan rashoda za unos u SAP'!$N$3:$N$501,"=34")+SUMIFS('ANALITIKA EU PROJEKATA'!$H$3:$H$501,'ANALITIKA EU PROJEKATA'!$A$3:$A$501,"=563",'ANALITIKA EU PROJEKATA'!$Q$3:$Q$501,"=34")</f>
        <v>0</v>
      </c>
      <c r="P75" s="140">
        <f>SUMIFS('Plan rashoda za unos u SAP'!$J$3:$J$501,'Plan rashoda za unos u SAP'!$C$3:$C$501,"=573",'Plan rashoda za unos u SAP'!$N$3:$N$501,"=34")+SUMIFS('ANALITIKA EU PROJEKATA'!$H$3:$H$501,'ANALITIKA EU PROJEKATA'!$A$3:$A$501,"=573",'ANALITIKA EU PROJEKATA'!$Q$3:$Q$501,"=34")</f>
        <v>0</v>
      </c>
      <c r="Q75" s="140">
        <f>SUMIFS('Plan rashoda za unos u SAP'!$J$3:$J$501,'Plan rashoda za unos u SAP'!$C$3:$C$501,"=575",'Plan rashoda za unos u SAP'!$N$3:$N$501,"=34")+SUMIFS('ANALITIKA EU PROJEKATA'!$H$3:$H$501,'ANALITIKA EU PROJEKATA'!$A$3:$A$501,"=575",'ANALITIKA EU PROJEKATA'!$Q$3:$Q$501,"=34")</f>
        <v>0</v>
      </c>
      <c r="R75" s="140">
        <f>SUMIFS('Plan rashoda za unos u SAP'!$J$3:$J$501,'Plan rashoda za unos u SAP'!$C$3:$C$501,"=576",'Plan rashoda za unos u SAP'!$N$3:$N$501,"=34")+SUMIFS('ANALITIKA EU PROJEKATA'!$H$3:$H$501,'ANALITIKA EU PROJEKATA'!$A$3:$A$501,"=576",'ANALITIKA EU PROJEKATA'!$Q$3:$Q$501,"=34")</f>
        <v>0</v>
      </c>
      <c r="S75" s="140">
        <f>SUMIFS('Plan rashoda za unos u SAP'!$J$3:$J$501,'Plan rashoda za unos u SAP'!$C$3:$C$501,"=61",'Plan rashoda za unos u SAP'!$N$3:$N$501,"=34")+SUMIFS('ANALITIKA EU PROJEKATA'!$H$3:$H$501,'ANALITIKA EU PROJEKATA'!$A$3:$A$501,"=61",'ANALITIKA EU PROJEKATA'!$Q$3:$Q$501,"=34")</f>
        <v>0</v>
      </c>
      <c r="T75" s="140">
        <f>SUMIFS('Plan rashoda za unos u SAP'!$J$3:$J$501,'Plan rashoda za unos u SAP'!$C$3:$C$501,"=63",'Plan rashoda za unos u SAP'!$N$3:$N$501,"=34")+SUMIFS('ANALITIKA EU PROJEKATA'!$H$3:$H$501,'ANALITIKA EU PROJEKATA'!$A$3:$A$501,"=63",'ANALITIKA EU PROJEKATA'!$Q$3:$Q$501,"=34")</f>
        <v>0</v>
      </c>
      <c r="U75" s="140">
        <f>SUMIFS('Plan rashoda za unos u SAP'!$J$3:$J$501,'Plan rashoda za unos u SAP'!$C$3:$C$501,"=71",'Plan rashoda za unos u SAP'!$N$3:$N$501,"=34")+SUMIFS('ANALITIKA EU PROJEKATA'!$H$3:$H$501,'ANALITIKA EU PROJEKATA'!$A$3:$A$501,"=71",'ANALITIKA EU PROJEKATA'!$Q$3:$Q$501,"=34")</f>
        <v>0</v>
      </c>
      <c r="V75" s="140">
        <f>SUMIFS('Plan rashoda za unos u SAP'!$J$3:$J$501,'Plan rashoda za unos u SAP'!$C$3:$C$501,"=81",'Plan rashoda za unos u SAP'!$N$3:$N$501,"=34")+SUMIFS('ANALITIKA EU PROJEKATA'!$H$3:$H$501,'ANALITIKA EU PROJEKATA'!$A$3:$A$501,"=81",'ANALITIKA EU PROJEKATA'!$Q$3:$Q$501,"=34")</f>
        <v>0</v>
      </c>
      <c r="W75" s="140">
        <f>SUMIFS('Plan rashoda za unos u SAP'!$J$3:$J$501,'Plan rashoda za unos u SAP'!$C$3:$C$501,"=83",'Plan rashoda za unos u SAP'!$N$3:$N$501,"=34")+SUMIFS('ANALITIKA EU PROJEKATA'!$H$3:$H$501,'ANALITIKA EU PROJEKATA'!$A$3:$A$501,"=83",'ANALITIKA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328</v>
      </c>
      <c r="D76" s="133">
        <f t="shared" si="21"/>
        <v>0</v>
      </c>
      <c r="E76" s="140">
        <f>SUMIFS('Plan rashoda za unos u SAP'!$J$3:$J$501,'Plan rashoda za unos u SAP'!$C$3:$C$501,"=11",'Plan rashoda za unos u SAP'!$N$3:$N$501,"=35")+SUMIFS('ANALITIKA EU PROJEKATA'!$H$3:$H$501,'ANALITIKA EU PROJEKATA'!$A$3:$A$501,"=11",'ANALITIKA EU PROJEKATA'!$Q$3:$Q$501,"=35")</f>
        <v>0</v>
      </c>
      <c r="F76" s="140">
        <f>SUMIFS('Plan rashoda za unos u SAP'!$J$3:$J$501,'Plan rashoda za unos u SAP'!$C$3:$C$501,"=12",'Plan rashoda za unos u SAP'!$N$3:$N$501,"=35")+SUMIFS('ANALITIKA EU PROJEKATA'!$H$3:$H$501,'ANALITIKA EU PROJEKATA'!$A$3:$A$501,"=12",'ANALITIKA EU PROJEKATA'!$Q$3:$Q$501,"=35")</f>
        <v>0</v>
      </c>
      <c r="G76" s="140">
        <f>SUMIFS('Plan rashoda za unos u SAP'!$J$3:$J$501,'Plan rashoda za unos u SAP'!$C$3:$C$501,"=31",'Plan rashoda za unos u SAP'!$N$3:$N$501,"=35")+SUMIFS('ANALITIKA EU PROJEKATA'!$H$3:$H$501,'ANALITIKA EU PROJEKATA'!$A$3:$A$501,"=31",'ANALITIKA EU PROJEKATA'!$Q$3:$Q$501,"=35")</f>
        <v>0</v>
      </c>
      <c r="H76" s="140">
        <f>SUMIFS('Plan rashoda za unos u SAP'!$J$3:$J$501,'Plan rashoda za unos u SAP'!$C$3:$C$501,"=41",'Plan rashoda za unos u SAP'!$N$3:$N$501,"=35")+SUMIFS('ANALITIKA EU PROJEKATA'!$H$3:$H$501,'ANALITIKA EU PROJEKATA'!$A$3:$A$501,"=41",'ANALITIKA EU PROJEKATA'!$Q$3:$Q$501,"=35")</f>
        <v>0</v>
      </c>
      <c r="I76" s="140">
        <f>SUMIFS('Plan rashoda za unos u SAP'!$J$3:$J$501,'Plan rashoda za unos u SAP'!$C$3:$C$501,"=43",'Plan rashoda za unos u SAP'!$N$3:$N$501,"=35")+SUMIFS('ANALITIKA EU PROJEKATA'!$H$3:$H$501,'ANALITIKA EU PROJEKATA'!$A$3:$A$501,"=43",'ANALITIKA EU PROJEKATA'!$Q$3:$Q$501,"=35")</f>
        <v>0</v>
      </c>
      <c r="J76" s="140">
        <f>SUMIFS('Plan rashoda za unos u SAP'!$J$3:$J$501,'Plan rashoda za unos u SAP'!$C$3:$C$501,"=51",'Plan rashoda za unos u SAP'!$N$3:$N$501,"=35")+SUMIFS('ANALITIKA EU PROJEKATA'!$H$3:$H$501,'ANALITIKA EU PROJEKATA'!$A$3:$A$501,"=51",'ANALITIKA EU PROJEKATA'!$Q$3:$Q$501,"=35")</f>
        <v>0</v>
      </c>
      <c r="K76" s="140">
        <f>SUMIFS('Plan rashoda za unos u SAP'!$J$3:$J$501,'Plan rashoda za unos u SAP'!$C$3:$C$501,"=52",'Plan rashoda za unos u SAP'!$N$3:$N$501,"=35")+SUMIFS('ANALITIKA EU PROJEKATA'!$H$3:$H$501,'ANALITIKA EU PROJEKATA'!$A$3:$A$501,"=52",'ANALITIKA EU PROJEKATA'!$Q$3:$Q$501,"=35")</f>
        <v>0</v>
      </c>
      <c r="L76" s="140">
        <f>SUMIFS('Plan rashoda za unos u SAP'!$J$3:$J$501,'Plan rashoda za unos u SAP'!$C$3:$C$501,"=552",'Plan rashoda za unos u SAP'!$N$3:$N$501,"=35")+SUMIFS('ANALITIKA EU PROJEKATA'!$H$3:$H$501,'ANALITIKA EU PROJEKATA'!$A$3:$A$501,"=552",'ANALITIKA EU PROJEKATA'!$Q$3:$Q$501,"=35")</f>
        <v>0</v>
      </c>
      <c r="M76" s="140">
        <f>SUMIFS('Plan rashoda za unos u SAP'!$J$3:$J$501,'Plan rashoda za unos u SAP'!$C$3:$C$501,"=559",'Plan rashoda za unos u SAP'!$N$3:$N$501,"=35")+SUMIFS('ANALITIKA EU PROJEKATA'!$H$3:$H$501,'ANALITIKA EU PROJEKATA'!$A$3:$A$501,"=559",'ANALITIKA EU PROJEKATA'!$Q$3:$Q$501,"=35")</f>
        <v>0</v>
      </c>
      <c r="N76" s="140">
        <f>SUMIFS('Plan rashoda za unos u SAP'!$J$3:$J$501,'Plan rashoda za unos u SAP'!$C$3:$C$501,"=561",'Plan rashoda za unos u SAP'!$N$3:$N$501,"=35")+SUMIFS('ANALITIKA EU PROJEKATA'!$H$3:$H$501,'ANALITIKA EU PROJEKATA'!$A$3:$A$501,"=561",'ANALITIKA EU PROJEKATA'!$Q$3:$Q$501,"=35")</f>
        <v>0</v>
      </c>
      <c r="O76" s="140">
        <f>SUMIFS('Plan rashoda za unos u SAP'!$J$3:$J$501,'Plan rashoda za unos u SAP'!$C$3:$C$501,"=563",'Plan rashoda za unos u SAP'!$N$3:$N$501,"=35")+SUMIFS('ANALITIKA EU PROJEKATA'!$H$3:$H$501,'ANALITIKA EU PROJEKATA'!$A$3:$A$501,"=563",'ANALITIKA EU PROJEKATA'!$Q$3:$Q$501,"=35")</f>
        <v>0</v>
      </c>
      <c r="P76" s="140">
        <f>SUMIFS('Plan rashoda za unos u SAP'!$J$3:$J$501,'Plan rashoda za unos u SAP'!$C$3:$C$501,"=573",'Plan rashoda za unos u SAP'!$N$3:$N$501,"=35")+SUMIFS('ANALITIKA EU PROJEKATA'!$H$3:$H$501,'ANALITIKA EU PROJEKATA'!$A$3:$A$501,"=573",'ANALITIKA EU PROJEKATA'!$Q$3:$Q$501,"=35")</f>
        <v>0</v>
      </c>
      <c r="Q76" s="140">
        <f>SUMIFS('Plan rashoda za unos u SAP'!$J$3:$J$501,'Plan rashoda za unos u SAP'!$C$3:$C$501,"=575",'Plan rashoda za unos u SAP'!$N$3:$N$501,"=35")+SUMIFS('ANALITIKA EU PROJEKATA'!$H$3:$H$501,'ANALITIKA EU PROJEKATA'!$A$3:$A$501,"=575",'ANALITIKA EU PROJEKATA'!$Q$3:$Q$501,"=35")</f>
        <v>0</v>
      </c>
      <c r="R76" s="140">
        <f>SUMIFS('Plan rashoda za unos u SAP'!$J$3:$J$501,'Plan rashoda za unos u SAP'!$C$3:$C$501,"=576",'Plan rashoda za unos u SAP'!$N$3:$N$501,"=35")+SUMIFS('ANALITIKA EU PROJEKATA'!$H$3:$H$501,'ANALITIKA EU PROJEKATA'!$A$3:$A$501,"=576",'ANALITIKA EU PROJEKATA'!$Q$3:$Q$501,"=35")</f>
        <v>0</v>
      </c>
      <c r="S76" s="140">
        <f>SUMIFS('Plan rashoda za unos u SAP'!$J$3:$J$501,'Plan rashoda za unos u SAP'!$C$3:$C$501,"=61",'Plan rashoda za unos u SAP'!$N$3:$N$501,"=35")+SUMIFS('ANALITIKA EU PROJEKATA'!$H$3:$H$501,'ANALITIKA EU PROJEKATA'!$A$3:$A$501,"=61",'ANALITIKA EU PROJEKATA'!$Q$3:$Q$501,"=35")</f>
        <v>0</v>
      </c>
      <c r="T76" s="140">
        <f>SUMIFS('Plan rashoda za unos u SAP'!$J$3:$J$501,'Plan rashoda za unos u SAP'!$C$3:$C$501,"=63",'Plan rashoda za unos u SAP'!$N$3:$N$501,"=35")+SUMIFS('ANALITIKA EU PROJEKATA'!$H$3:$H$501,'ANALITIKA EU PROJEKATA'!$A$3:$A$501,"=63",'ANALITIKA EU PROJEKATA'!$Q$3:$Q$501,"=35")</f>
        <v>0</v>
      </c>
      <c r="U76" s="140">
        <f>SUMIFS('Plan rashoda za unos u SAP'!$J$3:$J$501,'Plan rashoda za unos u SAP'!$C$3:$C$501,"=71",'Plan rashoda za unos u SAP'!$N$3:$N$501,"=35")+SUMIFS('ANALITIKA EU PROJEKATA'!$H$3:$H$501,'ANALITIKA EU PROJEKATA'!$A$3:$A$501,"=71",'ANALITIKA EU PROJEKATA'!$Q$3:$Q$501,"=35")</f>
        <v>0</v>
      </c>
      <c r="V76" s="140">
        <f>SUMIFS('Plan rashoda za unos u SAP'!$J$3:$J$501,'Plan rashoda za unos u SAP'!$C$3:$C$501,"=81",'Plan rashoda za unos u SAP'!$N$3:$N$501,"=35")+SUMIFS('ANALITIKA EU PROJEKATA'!$H$3:$H$501,'ANALITIKA EU PROJEKATA'!$A$3:$A$501,"=81",'ANALITIKA EU PROJEKATA'!$Q$3:$Q$501,"=35")</f>
        <v>0</v>
      </c>
      <c r="W76" s="140">
        <f>SUMIFS('Plan rashoda za unos u SAP'!$J$3:$J$501,'Plan rashoda za unos u SAP'!$C$3:$C$501,"=83",'Plan rashoda za unos u SAP'!$N$3:$N$501,"=35")+SUMIFS('ANALITIKA EU PROJEKATA'!$H$3:$H$501,'ANALITIKA EU PROJEKATA'!$A$3:$A$501,"=83",'ANALITIKA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212</v>
      </c>
      <c r="D77" s="133">
        <f t="shared" si="21"/>
        <v>0</v>
      </c>
      <c r="E77" s="140">
        <f>SUMIFS('Plan rashoda za unos u SAP'!$J$3:$J$501,'Plan rashoda za unos u SAP'!$C$3:$C$501,"=11",'Plan rashoda za unos u SAP'!$N$3:$N$501,"=36")+SUMIFS('ANALITIKA EU PROJEKATA'!$H$3:$H$501,'ANALITIKA EU PROJEKATA'!$A$3:$A$501,"=11",'ANALITIKA EU PROJEKATA'!$Q$3:$Q$501,"=36")</f>
        <v>0</v>
      </c>
      <c r="F77" s="140">
        <f>SUMIFS('Plan rashoda za unos u SAP'!$J$3:$J$501,'Plan rashoda za unos u SAP'!$C$3:$C$501,"=12",'Plan rashoda za unos u SAP'!$N$3:$N$501,"=36")+SUMIFS('ANALITIKA EU PROJEKATA'!$H$3:$H$501,'ANALITIKA EU PROJEKATA'!$A$3:$A$501,"=12",'ANALITIKA EU PROJEKATA'!$Q$3:$Q$501,"=36")</f>
        <v>0</v>
      </c>
      <c r="G77" s="140">
        <f>SUMIFS('Plan rashoda za unos u SAP'!$J$3:$J$501,'Plan rashoda za unos u SAP'!$C$3:$C$501,"=31",'Plan rashoda za unos u SAP'!$N$3:$N$501,"=36")+SUMIFS('ANALITIKA EU PROJEKATA'!$H$3:$H$501,'ANALITIKA EU PROJEKATA'!$A$3:$A$501,"=31",'ANALITIKA EU PROJEKATA'!$Q$3:$Q$501,"=36")</f>
        <v>0</v>
      </c>
      <c r="H77" s="140">
        <f>SUMIFS('Plan rashoda za unos u SAP'!$J$3:$J$501,'Plan rashoda za unos u SAP'!$C$3:$C$501,"=41",'Plan rashoda za unos u SAP'!$N$3:$N$501,"=36")+SUMIFS('ANALITIKA EU PROJEKATA'!$H$3:$H$501,'ANALITIKA EU PROJEKATA'!$A$3:$A$501,"=41",'ANALITIKA EU PROJEKATA'!$Q$3:$Q$501,"=36")</f>
        <v>0</v>
      </c>
      <c r="I77" s="140">
        <f>SUMIFS('Plan rashoda za unos u SAP'!$J$3:$J$501,'Plan rashoda za unos u SAP'!$C$3:$C$501,"=43",'Plan rashoda za unos u SAP'!$N$3:$N$501,"=36")+SUMIFS('ANALITIKA EU PROJEKATA'!$H$3:$H$501,'ANALITIKA EU PROJEKATA'!$A$3:$A$501,"=43",'ANALITIKA EU PROJEKATA'!$Q$3:$Q$501,"=36")</f>
        <v>0</v>
      </c>
      <c r="J77" s="140">
        <f>SUMIFS('Plan rashoda za unos u SAP'!$J$3:$J$501,'Plan rashoda za unos u SAP'!$C$3:$C$501,"=51",'Plan rashoda za unos u SAP'!$N$3:$N$501,"=36")+SUMIFS('ANALITIKA EU PROJEKATA'!$H$3:$H$501,'ANALITIKA EU PROJEKATA'!$A$3:$A$501,"=51",'ANALITIKA EU PROJEKATA'!$Q$3:$Q$501,"=36")</f>
        <v>0</v>
      </c>
      <c r="K77" s="140">
        <f>SUMIFS('Plan rashoda za unos u SAP'!$J$3:$J$501,'Plan rashoda za unos u SAP'!$C$3:$C$501,"=52",'Plan rashoda za unos u SAP'!$N$3:$N$501,"=36")+SUMIFS('ANALITIKA EU PROJEKATA'!$H$3:$H$501,'ANALITIKA EU PROJEKATA'!$A$3:$A$501,"=52",'ANALITIKA EU PROJEKATA'!$Q$3:$Q$501,"=36")</f>
        <v>0</v>
      </c>
      <c r="L77" s="140">
        <f>SUMIFS('Plan rashoda za unos u SAP'!$J$3:$J$501,'Plan rashoda za unos u SAP'!$C$3:$C$501,"=552",'Plan rashoda za unos u SAP'!$N$3:$N$501,"=36")+SUMIFS('ANALITIKA EU PROJEKATA'!$H$3:$H$501,'ANALITIKA EU PROJEKATA'!$A$3:$A$501,"=552",'ANALITIKA EU PROJEKATA'!$Q$3:$Q$501,"=36")</f>
        <v>0</v>
      </c>
      <c r="M77" s="140">
        <f>SUMIFS('Plan rashoda za unos u SAP'!$J$3:$J$501,'Plan rashoda za unos u SAP'!$C$3:$C$501,"=559",'Plan rashoda za unos u SAP'!$N$3:$N$501,"=36")+SUMIFS('ANALITIKA EU PROJEKATA'!$H$3:$H$501,'ANALITIKA EU PROJEKATA'!$A$3:$A$501,"=559",'ANALITIKA EU PROJEKATA'!$Q$3:$Q$501,"=36")</f>
        <v>0</v>
      </c>
      <c r="N77" s="140">
        <f>SUMIFS('Plan rashoda za unos u SAP'!$J$3:$J$501,'Plan rashoda za unos u SAP'!$C$3:$C$501,"=561",'Plan rashoda za unos u SAP'!$N$3:$N$501,"=36")+SUMIFS('ANALITIKA EU PROJEKATA'!$H$3:$H$501,'ANALITIKA EU PROJEKATA'!$A$3:$A$501,"=561",'ANALITIKA EU PROJEKATA'!$Q$3:$Q$501,"=36")</f>
        <v>0</v>
      </c>
      <c r="O77" s="140">
        <f>SUMIFS('Plan rashoda za unos u SAP'!$J$3:$J$501,'Plan rashoda za unos u SAP'!$C$3:$C$501,"=563",'Plan rashoda za unos u SAP'!$N$3:$N$501,"=36")+SUMIFS('ANALITIKA EU PROJEKATA'!$H$3:$H$501,'ANALITIKA EU PROJEKATA'!$A$3:$A$501,"=563",'ANALITIKA EU PROJEKATA'!$Q$3:$Q$501,"=36")</f>
        <v>0</v>
      </c>
      <c r="P77" s="140">
        <f>SUMIFS('Plan rashoda za unos u SAP'!$J$3:$J$501,'Plan rashoda za unos u SAP'!$C$3:$C$501,"=573",'Plan rashoda za unos u SAP'!$N$3:$N$501,"=36")+SUMIFS('ANALITIKA EU PROJEKATA'!$H$3:$H$501,'ANALITIKA EU PROJEKATA'!$A$3:$A$501,"=573",'ANALITIKA EU PROJEKATA'!$Q$3:$Q$501,"=36")</f>
        <v>0</v>
      </c>
      <c r="Q77" s="140">
        <f>SUMIFS('Plan rashoda za unos u SAP'!$J$3:$J$501,'Plan rashoda za unos u SAP'!$C$3:$C$501,"=575",'Plan rashoda za unos u SAP'!$N$3:$N$501,"=36")+SUMIFS('ANALITIKA EU PROJEKATA'!$H$3:$H$501,'ANALITIKA EU PROJEKATA'!$A$3:$A$501,"=575",'ANALITIKA EU PROJEKATA'!$Q$3:$Q$501,"=36")</f>
        <v>0</v>
      </c>
      <c r="R77" s="140">
        <f>SUMIFS('Plan rashoda za unos u SAP'!$J$3:$J$501,'Plan rashoda za unos u SAP'!$C$3:$C$501,"=576",'Plan rashoda za unos u SAP'!$N$3:$N$501,"=36")+SUMIFS('ANALITIKA EU PROJEKATA'!$H$3:$H$501,'ANALITIKA EU PROJEKATA'!$A$3:$A$501,"=576",'ANALITIKA EU PROJEKATA'!$Q$3:$Q$501,"=36")</f>
        <v>0</v>
      </c>
      <c r="S77" s="140">
        <f>SUMIFS('Plan rashoda za unos u SAP'!$J$3:$J$501,'Plan rashoda za unos u SAP'!$C$3:$C$501,"=61",'Plan rashoda za unos u SAP'!$N$3:$N$501,"=36")+SUMIFS('ANALITIKA EU PROJEKATA'!$H$3:$H$501,'ANALITIKA EU PROJEKATA'!$A$3:$A$501,"=61",'ANALITIKA EU PROJEKATA'!$Q$3:$Q$501,"=36")</f>
        <v>0</v>
      </c>
      <c r="T77" s="140">
        <f>SUMIFS('Plan rashoda za unos u SAP'!$J$3:$J$501,'Plan rashoda za unos u SAP'!$C$3:$C$501,"=63",'Plan rashoda za unos u SAP'!$N$3:$N$501,"=36")+SUMIFS('ANALITIKA EU PROJEKATA'!$H$3:$H$501,'ANALITIKA EU PROJEKATA'!$A$3:$A$501,"=63",'ANALITIKA EU PROJEKATA'!$Q$3:$Q$501,"=36")</f>
        <v>0</v>
      </c>
      <c r="U77" s="140">
        <f>SUMIFS('Plan rashoda za unos u SAP'!$J$3:$J$501,'Plan rashoda za unos u SAP'!$C$3:$C$501,"=71",'Plan rashoda za unos u SAP'!$N$3:$N$501,"=36")+SUMIFS('ANALITIKA EU PROJEKATA'!$H$3:$H$501,'ANALITIKA EU PROJEKATA'!$A$3:$A$501,"=71",'ANALITIKA EU PROJEKATA'!$Q$3:$Q$501,"=36")</f>
        <v>0</v>
      </c>
      <c r="V77" s="140">
        <f>SUMIFS('Plan rashoda za unos u SAP'!$J$3:$J$501,'Plan rashoda za unos u SAP'!$C$3:$C$501,"=81",'Plan rashoda za unos u SAP'!$N$3:$N$501,"=36")+SUMIFS('ANALITIKA EU PROJEKATA'!$H$3:$H$501,'ANALITIKA EU PROJEKATA'!$A$3:$A$501,"=81",'ANALITIKA EU PROJEKATA'!$Q$3:$Q$501,"=36")</f>
        <v>0</v>
      </c>
      <c r="W77" s="140">
        <f>SUMIFS('Plan rashoda za unos u SAP'!$J$3:$J$501,'Plan rashoda za unos u SAP'!$C$3:$C$501,"=83",'Plan rashoda za unos u SAP'!$N$3:$N$501,"=36")+SUMIFS('ANALITIKA EU PROJEKATA'!$H$3:$H$501,'ANALITIKA EU PROJEKATA'!$A$3:$A$501,"=83",'ANALITIKA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335</v>
      </c>
      <c r="D78" s="133">
        <f t="shared" si="21"/>
        <v>130000</v>
      </c>
      <c r="E78" s="140">
        <f>SUMIFS('Plan rashoda za unos u SAP'!$J$3:$J$501,'Plan rashoda za unos u SAP'!$C$3:$C$501,"=11",'Plan rashoda za unos u SAP'!$N$3:$N$501,"=37")+SUMIFS('ANALITIKA EU PROJEKATA'!$H$3:$H$501,'ANALITIKA EU PROJEKATA'!$A$3:$A$501,"=11",'ANALITIKA EU PROJEKATA'!$Q$3:$Q$501,"=37")</f>
        <v>0</v>
      </c>
      <c r="F78" s="140">
        <f>SUMIFS('Plan rashoda za unos u SAP'!$J$3:$J$501,'Plan rashoda za unos u SAP'!$C$3:$C$501,"=12",'Plan rashoda za unos u SAP'!$N$3:$N$501,"=37")+SUMIFS('ANALITIKA EU PROJEKATA'!$H$3:$H$501,'ANALITIKA EU PROJEKATA'!$A$3:$A$501,"=12",'ANALITIKA EU PROJEKATA'!$Q$3:$Q$501,"=37")</f>
        <v>0</v>
      </c>
      <c r="G78" s="140">
        <f>SUMIFS('Plan rashoda za unos u SAP'!$J$3:$J$501,'Plan rashoda za unos u SAP'!$C$3:$C$501,"=31",'Plan rashoda za unos u SAP'!$N$3:$N$501,"=37")+SUMIFS('ANALITIKA EU PROJEKATA'!$H$3:$H$501,'ANALITIKA EU PROJEKATA'!$A$3:$A$501,"=31",'ANALITIKA EU PROJEKATA'!$Q$3:$Q$501,"=37")</f>
        <v>130000</v>
      </c>
      <c r="H78" s="140">
        <f>SUMIFS('Plan rashoda za unos u SAP'!$J$3:$J$501,'Plan rashoda za unos u SAP'!$C$3:$C$501,"=41",'Plan rashoda za unos u SAP'!$N$3:$N$501,"=37")+SUMIFS('ANALITIKA EU PROJEKATA'!$H$3:$H$501,'ANALITIKA EU PROJEKATA'!$A$3:$A$501,"=41",'ANALITIKA EU PROJEKATA'!$Q$3:$Q$501,"=37")</f>
        <v>0</v>
      </c>
      <c r="I78" s="140">
        <f>SUMIFS('Plan rashoda za unos u SAP'!$J$3:$J$501,'Plan rashoda za unos u SAP'!$C$3:$C$501,"=43",'Plan rashoda za unos u SAP'!$N$3:$N$501,"=37")+SUMIFS('ANALITIKA EU PROJEKATA'!$H$3:$H$501,'ANALITIKA EU PROJEKATA'!$A$3:$A$501,"=43",'ANALITIKA EU PROJEKATA'!$Q$3:$Q$501,"=37")</f>
        <v>0</v>
      </c>
      <c r="J78" s="140">
        <f>SUMIFS('Plan rashoda za unos u SAP'!$J$3:$J$501,'Plan rashoda za unos u SAP'!$C$3:$C$501,"=51",'Plan rashoda za unos u SAP'!$N$3:$N$501,"=37")+SUMIFS('ANALITIKA EU PROJEKATA'!$H$3:$H$501,'ANALITIKA EU PROJEKATA'!$A$3:$A$501,"=51",'ANALITIKA EU PROJEKATA'!$Q$3:$Q$501,"=37")</f>
        <v>0</v>
      </c>
      <c r="K78" s="140">
        <f>SUMIFS('Plan rashoda za unos u SAP'!$J$3:$J$501,'Plan rashoda za unos u SAP'!$C$3:$C$501,"=52",'Plan rashoda za unos u SAP'!$N$3:$N$501,"=37")+SUMIFS('ANALITIKA EU PROJEKATA'!$H$3:$H$501,'ANALITIKA EU PROJEKATA'!$A$3:$A$501,"=52",'ANALITIKA EU PROJEKATA'!$Q$3:$Q$501,"=37")</f>
        <v>0</v>
      </c>
      <c r="L78" s="140">
        <f>SUMIFS('Plan rashoda za unos u SAP'!$J$3:$J$501,'Plan rashoda za unos u SAP'!$C$3:$C$501,"=552",'Plan rashoda za unos u SAP'!$N$3:$N$501,"=37")+SUMIFS('ANALITIKA EU PROJEKATA'!$H$3:$H$501,'ANALITIKA EU PROJEKATA'!$A$3:$A$501,"=552",'ANALITIKA EU PROJEKATA'!$Q$3:$Q$501,"=37")</f>
        <v>0</v>
      </c>
      <c r="M78" s="140">
        <f>SUMIFS('Plan rashoda za unos u SAP'!$J$3:$J$501,'Plan rashoda za unos u SAP'!$C$3:$C$501,"=559",'Plan rashoda za unos u SAP'!$N$3:$N$501,"=37")+SUMIFS('ANALITIKA EU PROJEKATA'!$H$3:$H$501,'ANALITIKA EU PROJEKATA'!$A$3:$A$501,"=559",'ANALITIKA EU PROJEKATA'!$Q$3:$Q$501,"=37")</f>
        <v>0</v>
      </c>
      <c r="N78" s="140">
        <f>SUMIFS('Plan rashoda za unos u SAP'!$J$3:$J$501,'Plan rashoda za unos u SAP'!$C$3:$C$501,"=561",'Plan rashoda za unos u SAP'!$N$3:$N$501,"=37")+SUMIFS('ANALITIKA EU PROJEKATA'!$H$3:$H$501,'ANALITIKA EU PROJEKATA'!$A$3:$A$501,"=561",'ANALITIKA EU PROJEKATA'!$Q$3:$Q$501,"=37")</f>
        <v>0</v>
      </c>
      <c r="O78" s="140">
        <f>SUMIFS('Plan rashoda za unos u SAP'!$J$3:$J$501,'Plan rashoda za unos u SAP'!$C$3:$C$501,"=563",'Plan rashoda za unos u SAP'!$N$3:$N$501,"=37")+SUMIFS('ANALITIKA EU PROJEKATA'!$H$3:$H$501,'ANALITIKA EU PROJEKATA'!$A$3:$A$501,"=563",'ANALITIKA EU PROJEKATA'!$Q$3:$Q$501,"=37")</f>
        <v>0</v>
      </c>
      <c r="P78" s="140">
        <f>SUMIFS('Plan rashoda za unos u SAP'!$J$3:$J$501,'Plan rashoda za unos u SAP'!$C$3:$C$501,"=573",'Plan rashoda za unos u SAP'!$N$3:$N$501,"=37")+SUMIFS('ANALITIKA EU PROJEKATA'!$H$3:$H$501,'ANALITIKA EU PROJEKATA'!$A$3:$A$501,"=573",'ANALITIKA EU PROJEKATA'!$Q$3:$Q$501,"=37")</f>
        <v>0</v>
      </c>
      <c r="Q78" s="140">
        <f>SUMIFS('Plan rashoda za unos u SAP'!$J$3:$J$501,'Plan rashoda za unos u SAP'!$C$3:$C$501,"=575",'Plan rashoda za unos u SAP'!$N$3:$N$501,"=37")+SUMIFS('ANALITIKA EU PROJEKATA'!$H$3:$H$501,'ANALITIKA EU PROJEKATA'!$A$3:$A$501,"=575",'ANALITIKA EU PROJEKATA'!$Q$3:$Q$501,"=37")</f>
        <v>0</v>
      </c>
      <c r="R78" s="140">
        <f>SUMIFS('Plan rashoda za unos u SAP'!$J$3:$J$501,'Plan rashoda za unos u SAP'!$C$3:$C$501,"=576",'Plan rashoda za unos u SAP'!$N$3:$N$501,"=37")+SUMIFS('ANALITIKA EU PROJEKATA'!$H$3:$H$501,'ANALITIKA EU PROJEKATA'!$A$3:$A$501,"=576",'ANALITIKA EU PROJEKATA'!$Q$3:$Q$501,"=37")</f>
        <v>0</v>
      </c>
      <c r="S78" s="140">
        <f>SUMIFS('Plan rashoda za unos u SAP'!$J$3:$J$501,'Plan rashoda za unos u SAP'!$C$3:$C$501,"=61",'Plan rashoda za unos u SAP'!$N$3:$N$501,"=37")+SUMIFS('ANALITIKA EU PROJEKATA'!$H$3:$H$501,'ANALITIKA EU PROJEKATA'!$A$3:$A$501,"=61",'ANALITIKA EU PROJEKATA'!$Q$3:$Q$501,"=37")</f>
        <v>0</v>
      </c>
      <c r="T78" s="140">
        <f>SUMIFS('Plan rashoda za unos u SAP'!$J$3:$J$501,'Plan rashoda za unos u SAP'!$C$3:$C$501,"=63",'Plan rashoda za unos u SAP'!$N$3:$N$501,"=37")+SUMIFS('ANALITIKA EU PROJEKATA'!$H$3:$H$501,'ANALITIKA EU PROJEKATA'!$A$3:$A$501,"=63",'ANALITIKA EU PROJEKATA'!$Q$3:$Q$501,"=37")</f>
        <v>0</v>
      </c>
      <c r="U78" s="140">
        <f>SUMIFS('Plan rashoda za unos u SAP'!$J$3:$J$501,'Plan rashoda za unos u SAP'!$C$3:$C$501,"=71",'Plan rashoda za unos u SAP'!$N$3:$N$501,"=37")+SUMIFS('ANALITIKA EU PROJEKATA'!$H$3:$H$501,'ANALITIKA EU PROJEKATA'!$A$3:$A$501,"=71",'ANALITIKA EU PROJEKATA'!$Q$3:$Q$501,"=37")</f>
        <v>0</v>
      </c>
      <c r="V78" s="140">
        <f>SUMIFS('Plan rashoda za unos u SAP'!$J$3:$J$501,'Plan rashoda za unos u SAP'!$C$3:$C$501,"=81",'Plan rashoda za unos u SAP'!$N$3:$N$501,"=37")+SUMIFS('ANALITIKA EU PROJEKATA'!$H$3:$H$501,'ANALITIKA EU PROJEKATA'!$A$3:$A$501,"=81",'ANALITIKA EU PROJEKATA'!$Q$3:$Q$501,"=37")</f>
        <v>0</v>
      </c>
      <c r="W78" s="140">
        <f>SUMIFS('Plan rashoda za unos u SAP'!$J$3:$J$501,'Plan rashoda za unos u SAP'!$C$3:$C$501,"=83",'Plan rashoda za unos u SAP'!$N$3:$N$501,"=37")+SUMIFS('ANALITIKA EU PROJEKATA'!$H$3:$H$501,'ANALITIKA EU PROJEKATA'!$A$3:$A$501,"=83",'ANALITIKA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214</v>
      </c>
      <c r="D79" s="133">
        <f t="shared" si="21"/>
        <v>0</v>
      </c>
      <c r="E79" s="140">
        <f>SUMIFS('Plan rashoda za unos u SAP'!$J$3:$J$501,'Plan rashoda za unos u SAP'!$C$3:$C$501,"=11",'Plan rashoda za unos u SAP'!$N$3:$N$501,"=38")+SUMIFS('ANALITIKA EU PROJEKATA'!$H$3:$H$501,'ANALITIKA EU PROJEKATA'!$A$3:$A$501,"=11",'ANALITIKA EU PROJEKATA'!$Q$3:$Q$501,"=38")</f>
        <v>0</v>
      </c>
      <c r="F79" s="140">
        <f>SUMIFS('Plan rashoda za unos u SAP'!$J$3:$J$501,'Plan rashoda za unos u SAP'!$C$3:$C$501,"=12",'Plan rashoda za unos u SAP'!$N$3:$N$501,"=38")+SUMIFS('ANALITIKA EU PROJEKATA'!$H$3:$H$501,'ANALITIKA EU PROJEKATA'!$A$3:$A$501,"=12",'ANALITIKA EU PROJEKATA'!$Q$3:$Q$501,"=38")</f>
        <v>0</v>
      </c>
      <c r="G79" s="140">
        <f>SUMIFS('Plan rashoda za unos u SAP'!$J$3:$J$501,'Plan rashoda za unos u SAP'!$C$3:$C$501,"=31",'Plan rashoda za unos u SAP'!$N$3:$N$501,"=38")+SUMIFS('ANALITIKA EU PROJEKATA'!$H$3:$H$501,'ANALITIKA EU PROJEKATA'!$A$3:$A$501,"=31",'ANALITIKA EU PROJEKATA'!$Q$3:$Q$501,"=38")</f>
        <v>0</v>
      </c>
      <c r="H79" s="140">
        <f>SUMIFS('Plan rashoda za unos u SAP'!$J$3:$J$501,'Plan rashoda za unos u SAP'!$C$3:$C$501,"=41",'Plan rashoda za unos u SAP'!$N$3:$N$501,"=38")+SUMIFS('ANALITIKA EU PROJEKATA'!$H$3:$H$501,'ANALITIKA EU PROJEKATA'!$A$3:$A$501,"=41",'ANALITIKA EU PROJEKATA'!$Q$3:$Q$501,"=38")</f>
        <v>0</v>
      </c>
      <c r="I79" s="140">
        <f>SUMIFS('Plan rashoda za unos u SAP'!$J$3:$J$501,'Plan rashoda za unos u SAP'!$C$3:$C$501,"=43",'Plan rashoda za unos u SAP'!$N$3:$N$501,"=38")+SUMIFS('ANALITIKA EU PROJEKATA'!$H$3:$H$501,'ANALITIKA EU PROJEKATA'!$A$3:$A$501,"=43",'ANALITIKA EU PROJEKATA'!$Q$3:$Q$501,"=38")</f>
        <v>0</v>
      </c>
      <c r="J79" s="140">
        <f>SUMIFS('Plan rashoda za unos u SAP'!$J$3:$J$501,'Plan rashoda za unos u SAP'!$C$3:$C$501,"=51",'Plan rashoda za unos u SAP'!$N$3:$N$501,"=38")+SUMIFS('ANALITIKA EU PROJEKATA'!$H$3:$H$501,'ANALITIKA EU PROJEKATA'!$A$3:$A$501,"=51",'ANALITIKA EU PROJEKATA'!$Q$3:$Q$501,"=38")</f>
        <v>0</v>
      </c>
      <c r="K79" s="140">
        <f>SUMIFS('Plan rashoda za unos u SAP'!$J$3:$J$501,'Plan rashoda za unos u SAP'!$C$3:$C$501,"=52",'Plan rashoda za unos u SAP'!$N$3:$N$501,"=38")+SUMIFS('ANALITIKA EU PROJEKATA'!$H$3:$H$501,'ANALITIKA EU PROJEKATA'!$A$3:$A$501,"=52",'ANALITIKA EU PROJEKATA'!$Q$3:$Q$501,"=38")</f>
        <v>0</v>
      </c>
      <c r="L79" s="140">
        <f>SUMIFS('Plan rashoda za unos u SAP'!$J$3:$J$501,'Plan rashoda za unos u SAP'!$C$3:$C$501,"=552",'Plan rashoda za unos u SAP'!$N$3:$N$501,"=38")+SUMIFS('ANALITIKA EU PROJEKATA'!$H$3:$H$501,'ANALITIKA EU PROJEKATA'!$A$3:$A$501,"=552",'ANALITIKA EU PROJEKATA'!$Q$3:$Q$501,"=38")</f>
        <v>0</v>
      </c>
      <c r="M79" s="140">
        <f>SUMIFS('Plan rashoda za unos u SAP'!$J$3:$J$501,'Plan rashoda za unos u SAP'!$C$3:$C$501,"=559",'Plan rashoda za unos u SAP'!$N$3:$N$501,"=38")+SUMIFS('ANALITIKA EU PROJEKATA'!$H$3:$H$501,'ANALITIKA EU PROJEKATA'!$A$3:$A$501,"=559",'ANALITIKA EU PROJEKATA'!$Q$3:$Q$501,"=38")</f>
        <v>0</v>
      </c>
      <c r="N79" s="140">
        <f>SUMIFS('Plan rashoda za unos u SAP'!$J$3:$J$501,'Plan rashoda za unos u SAP'!$C$3:$C$501,"=561",'Plan rashoda za unos u SAP'!$N$3:$N$501,"=38")+SUMIFS('ANALITIKA EU PROJEKATA'!$H$3:$H$501,'ANALITIKA EU PROJEKATA'!$A$3:$A$501,"=561",'ANALITIKA EU PROJEKATA'!$Q$3:$Q$501,"=38")</f>
        <v>0</v>
      </c>
      <c r="O79" s="140">
        <f>SUMIFS('Plan rashoda za unos u SAP'!$J$3:$J$501,'Plan rashoda za unos u SAP'!$C$3:$C$501,"=563",'Plan rashoda za unos u SAP'!$N$3:$N$501,"=38")+SUMIFS('ANALITIKA EU PROJEKATA'!$H$3:$H$501,'ANALITIKA EU PROJEKATA'!$A$3:$A$501,"=563",'ANALITIKA EU PROJEKATA'!$Q$3:$Q$501,"=38")</f>
        <v>0</v>
      </c>
      <c r="P79" s="140">
        <f>SUMIFS('Plan rashoda za unos u SAP'!$J$3:$J$501,'Plan rashoda za unos u SAP'!$C$3:$C$501,"=573",'Plan rashoda za unos u SAP'!$N$3:$N$501,"=38")+SUMIFS('ANALITIKA EU PROJEKATA'!$H$3:$H$501,'ANALITIKA EU PROJEKATA'!$A$3:$A$501,"=573",'ANALITIKA EU PROJEKATA'!$Q$3:$Q$501,"=38")</f>
        <v>0</v>
      </c>
      <c r="Q79" s="140">
        <f>SUMIFS('Plan rashoda za unos u SAP'!$J$3:$J$501,'Plan rashoda za unos u SAP'!$C$3:$C$501,"=575",'Plan rashoda za unos u SAP'!$N$3:$N$501,"=38")+SUMIFS('ANALITIKA EU PROJEKATA'!$H$3:$H$501,'ANALITIKA EU PROJEKATA'!$A$3:$A$501,"=575",'ANALITIKA EU PROJEKATA'!$Q$3:$Q$501,"=38")</f>
        <v>0</v>
      </c>
      <c r="R79" s="140">
        <f>SUMIFS('Plan rashoda za unos u SAP'!$J$3:$J$501,'Plan rashoda za unos u SAP'!$C$3:$C$501,"=576",'Plan rashoda za unos u SAP'!$N$3:$N$501,"=38")+SUMIFS('ANALITIKA EU PROJEKATA'!$H$3:$H$501,'ANALITIKA EU PROJEKATA'!$A$3:$A$501,"=576",'ANALITIKA EU PROJEKATA'!$Q$3:$Q$501,"=38")</f>
        <v>0</v>
      </c>
      <c r="S79" s="140">
        <f>SUMIFS('Plan rashoda za unos u SAP'!$J$3:$J$501,'Plan rashoda za unos u SAP'!$C$3:$C$501,"=61",'Plan rashoda za unos u SAP'!$N$3:$N$501,"=38")+SUMIFS('ANALITIKA EU PROJEKATA'!$H$3:$H$501,'ANALITIKA EU PROJEKATA'!$A$3:$A$501,"=61",'ANALITIKA EU PROJEKATA'!$Q$3:$Q$501,"=38")</f>
        <v>0</v>
      </c>
      <c r="T79" s="140">
        <f>SUMIFS('Plan rashoda za unos u SAP'!$J$3:$J$501,'Plan rashoda za unos u SAP'!$C$3:$C$501,"=63",'Plan rashoda za unos u SAP'!$N$3:$N$501,"=38")+SUMIFS('ANALITIKA EU PROJEKATA'!$H$3:$H$501,'ANALITIKA EU PROJEKATA'!$A$3:$A$501,"=63",'ANALITIKA EU PROJEKATA'!$Q$3:$Q$501,"=38")</f>
        <v>0</v>
      </c>
      <c r="U79" s="140">
        <f>SUMIFS('Plan rashoda za unos u SAP'!$J$3:$J$501,'Plan rashoda za unos u SAP'!$C$3:$C$501,"=71",'Plan rashoda za unos u SAP'!$N$3:$N$501,"=38")+SUMIFS('ANALITIKA EU PROJEKATA'!$H$3:$H$501,'ANALITIKA EU PROJEKATA'!$A$3:$A$501,"=71",'ANALITIKA EU PROJEKATA'!$Q$3:$Q$501,"=38")</f>
        <v>0</v>
      </c>
      <c r="V79" s="140">
        <f>SUMIFS('Plan rashoda za unos u SAP'!$J$3:$J$501,'Plan rashoda za unos u SAP'!$C$3:$C$501,"=81",'Plan rashoda za unos u SAP'!$N$3:$N$501,"=38")+SUMIFS('ANALITIKA EU PROJEKATA'!$H$3:$H$501,'ANALITIKA EU PROJEKATA'!$A$3:$A$501,"=81",'ANALITIKA EU PROJEKATA'!$Q$3:$Q$501,"=38")</f>
        <v>0</v>
      </c>
      <c r="W79" s="140">
        <f>SUMIFS('Plan rashoda za unos u SAP'!$J$3:$J$501,'Plan rashoda za unos u SAP'!$C$3:$C$501,"=83",'Plan rashoda za unos u SAP'!$N$3:$N$501,"=38")+SUMIFS('ANALITIKA EU PROJEKATA'!$H$3:$H$501,'ANALITIKA EU PROJEKATA'!$A$3:$A$501,"=83",'ANALITIKA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216</v>
      </c>
      <c r="D80" s="126">
        <f t="shared" si="21"/>
        <v>2897566</v>
      </c>
      <c r="E80" s="131">
        <f t="shared" ref="E80:V80" si="23">SUM(E81:E85)</f>
        <v>1643445</v>
      </c>
      <c r="F80" s="131">
        <f t="shared" si="23"/>
        <v>0</v>
      </c>
      <c r="G80" s="131">
        <f t="shared" si="23"/>
        <v>450000</v>
      </c>
      <c r="H80" s="131">
        <f>SUM(H81:H85)</f>
        <v>0</v>
      </c>
      <c r="I80" s="131">
        <f t="shared" si="23"/>
        <v>670000</v>
      </c>
      <c r="J80" s="131">
        <f t="shared" si="23"/>
        <v>34121</v>
      </c>
      <c r="K80" s="131">
        <f t="shared" si="23"/>
        <v>100000</v>
      </c>
      <c r="L80" s="131">
        <f>SUM(L81:L85)</f>
        <v>0</v>
      </c>
      <c r="M80" s="131">
        <f t="shared" si="23"/>
        <v>0</v>
      </c>
      <c r="N80" s="131">
        <f t="shared" si="23"/>
        <v>0</v>
      </c>
      <c r="O80" s="131">
        <f t="shared" si="23"/>
        <v>0</v>
      </c>
      <c r="P80" s="131">
        <f>SUM(P81:P85)</f>
        <v>0</v>
      </c>
      <c r="Q80" s="131">
        <f>SUM(Q81:Q85)</f>
        <v>0</v>
      </c>
      <c r="R80" s="131">
        <f>SUM(R81:R85)</f>
        <v>0</v>
      </c>
      <c r="S80" s="131">
        <f t="shared" si="23"/>
        <v>0</v>
      </c>
      <c r="T80" s="131">
        <f t="shared" si="23"/>
        <v>0</v>
      </c>
      <c r="U80" s="131">
        <f t="shared" si="23"/>
        <v>0</v>
      </c>
      <c r="V80" s="131">
        <f t="shared" si="23"/>
        <v>0</v>
      </c>
      <c r="W80" s="131">
        <f>SUM(W81:W85)</f>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340</v>
      </c>
      <c r="D81" s="133">
        <f t="shared" si="21"/>
        <v>0</v>
      </c>
      <c r="E81" s="140">
        <f>SUMIFS('Plan rashoda za unos u SAP'!$J$3:$J$501,'Plan rashoda za unos u SAP'!$C$3:$C$501,"=11",'Plan rashoda za unos u SAP'!$N$3:$N$501,"=41")+SUMIFS('ANALITIKA EU PROJEKATA'!$H$3:$H$501,'ANALITIKA EU PROJEKATA'!$A$3:$A$501,"=11",'ANALITIKA EU PROJEKATA'!$Q$3:$Q$501,"=41")</f>
        <v>0</v>
      </c>
      <c r="F81" s="140">
        <f>SUMIFS('Plan rashoda za unos u SAP'!$J$3:$J$501,'Plan rashoda za unos u SAP'!$C$3:$C$501,"=12",'Plan rashoda za unos u SAP'!$N$3:$N$501,"=41")+SUMIFS('ANALITIKA EU PROJEKATA'!$H$3:$H$501,'ANALITIKA EU PROJEKATA'!$A$3:$A$501,"=12",'ANALITIKA EU PROJEKATA'!$Q$3:$Q$501,"=41")</f>
        <v>0</v>
      </c>
      <c r="G81" s="140">
        <f>SUMIFS('Plan rashoda za unos u SAP'!$J$3:$J$501,'Plan rashoda za unos u SAP'!$C$3:$C$501,"=31",'Plan rashoda za unos u SAP'!$N$3:$N$501,"=41")+SUMIFS('ANALITIKA EU PROJEKATA'!$H$3:$H$501,'ANALITIKA EU PROJEKATA'!$A$3:$A$501,"=31",'ANALITIKA EU PROJEKATA'!$Q$3:$Q$501,"=41")</f>
        <v>0</v>
      </c>
      <c r="H81" s="140">
        <f>SUMIFS('Plan rashoda za unos u SAP'!$J$3:$J$501,'Plan rashoda za unos u SAP'!$C$3:$C$501,"=41",'Plan rashoda za unos u SAP'!$N$3:$N$501,"=41")+SUMIFS('ANALITIKA EU PROJEKATA'!$H$3:$H$501,'ANALITIKA EU PROJEKATA'!$A$3:$A$501,"=41",'ANALITIKA EU PROJEKATA'!$Q$3:$Q$501,"=41")</f>
        <v>0</v>
      </c>
      <c r="I81" s="140">
        <f>SUMIFS('Plan rashoda za unos u SAP'!$J$3:$J$501,'Plan rashoda za unos u SAP'!$C$3:$C$501,"=43",'Plan rashoda za unos u SAP'!$N$3:$N$501,"=41")+SUMIFS('ANALITIKA EU PROJEKATA'!$H$3:$H$501,'ANALITIKA EU PROJEKATA'!$A$3:$A$501,"=43",'ANALITIKA EU PROJEKATA'!$Q$3:$Q$501,"=41")</f>
        <v>0</v>
      </c>
      <c r="J81" s="140">
        <f>SUMIFS('Plan rashoda za unos u SAP'!$J$3:$J$501,'Plan rashoda za unos u SAP'!$C$3:$C$501,"=51",'Plan rashoda za unos u SAP'!$N$3:$N$501,"=41")+SUMIFS('ANALITIKA EU PROJEKATA'!$H$3:$H$501,'ANALITIKA EU PROJEKATA'!$A$3:$A$501,"=51",'ANALITIKA EU PROJEKATA'!$Q$3:$Q$501,"=41")</f>
        <v>0</v>
      </c>
      <c r="K81" s="140">
        <f>SUMIFS('Plan rashoda za unos u SAP'!$J$3:$J$501,'Plan rashoda za unos u SAP'!$C$3:$C$501,"=52",'Plan rashoda za unos u SAP'!$N$3:$N$501,"=41")+SUMIFS('ANALITIKA EU PROJEKATA'!$H$3:$H$501,'ANALITIKA EU PROJEKATA'!$A$3:$A$501,"=52",'ANALITIKA EU PROJEKATA'!$Q$3:$Q$501,"=41")</f>
        <v>0</v>
      </c>
      <c r="L81" s="140">
        <f>SUMIFS('Plan rashoda za unos u SAP'!$J$3:$J$501,'Plan rashoda za unos u SAP'!$C$3:$C$501,"=552",'Plan rashoda za unos u SAP'!$N$3:$N$501,"=41")+SUMIFS('ANALITIKA EU PROJEKATA'!$H$3:$H$501,'ANALITIKA EU PROJEKATA'!$A$3:$A$501,"=552",'ANALITIKA EU PROJEKATA'!$Q$3:$Q$501,"=41")</f>
        <v>0</v>
      </c>
      <c r="M81" s="140">
        <f>SUMIFS('Plan rashoda za unos u SAP'!$J$3:$J$501,'Plan rashoda za unos u SAP'!$C$3:$C$501,"=559",'Plan rashoda za unos u SAP'!$N$3:$N$501,"=41")+SUMIFS('ANALITIKA EU PROJEKATA'!$H$3:$H$501,'ANALITIKA EU PROJEKATA'!$A$3:$A$501,"=559",'ANALITIKA EU PROJEKATA'!$Q$3:$Q$501,"=41")</f>
        <v>0</v>
      </c>
      <c r="N81" s="140">
        <f>SUMIFS('Plan rashoda za unos u SAP'!$J$3:$J$501,'Plan rashoda za unos u SAP'!$C$3:$C$501,"=561",'Plan rashoda za unos u SAP'!$N$3:$N$501,"=41")+SUMIFS('ANALITIKA EU PROJEKATA'!$H$3:$H$501,'ANALITIKA EU PROJEKATA'!$A$3:$A$501,"=561",'ANALITIKA EU PROJEKATA'!$Q$3:$Q$501,"=41")</f>
        <v>0</v>
      </c>
      <c r="O81" s="140">
        <f>SUMIFS('Plan rashoda za unos u SAP'!$J$3:$J$501,'Plan rashoda za unos u SAP'!$C$3:$C$501,"=563",'Plan rashoda za unos u SAP'!$N$3:$N$501,"=41")+SUMIFS('ANALITIKA EU PROJEKATA'!$H$3:$H$501,'ANALITIKA EU PROJEKATA'!$A$3:$A$501,"=563",'ANALITIKA EU PROJEKATA'!$Q$3:$Q$501,"=41")</f>
        <v>0</v>
      </c>
      <c r="P81" s="140">
        <f>SUMIFS('Plan rashoda za unos u SAP'!$J$3:$J$501,'Plan rashoda za unos u SAP'!$C$3:$C$501,"=573",'Plan rashoda za unos u SAP'!$N$3:$N$501,"=41")+SUMIFS('ANALITIKA EU PROJEKATA'!$H$3:$H$501,'ANALITIKA EU PROJEKATA'!$A$3:$A$501,"=573",'ANALITIKA EU PROJEKATA'!$Q$3:$Q$501,"=41")</f>
        <v>0</v>
      </c>
      <c r="Q81" s="140">
        <f>SUMIFS('Plan rashoda za unos u SAP'!$J$3:$J$501,'Plan rashoda za unos u SAP'!$C$3:$C$501,"=575",'Plan rashoda za unos u SAP'!$N$3:$N$501,"=41")+SUMIFS('ANALITIKA EU PROJEKATA'!$H$3:$H$501,'ANALITIKA EU PROJEKATA'!$A$3:$A$501,"=575",'ANALITIKA EU PROJEKATA'!$Q$3:$Q$501,"=41")</f>
        <v>0</v>
      </c>
      <c r="R81" s="140">
        <f>SUMIFS('Plan rashoda za unos u SAP'!$J$3:$J$501,'Plan rashoda za unos u SAP'!$C$3:$C$501,"=576",'Plan rashoda za unos u SAP'!$N$3:$N$501,"=41")+SUMIFS('ANALITIKA EU PROJEKATA'!$H$3:$H$501,'ANALITIKA EU PROJEKATA'!$A$3:$A$501,"=576",'ANALITIKA EU PROJEKATA'!$Q$3:$Q$501,"=41")</f>
        <v>0</v>
      </c>
      <c r="S81" s="140">
        <f>SUMIFS('Plan rashoda za unos u SAP'!$J$3:$J$501,'Plan rashoda za unos u SAP'!$C$3:$C$501,"=61",'Plan rashoda za unos u SAP'!$N$3:$N$501,"=41")+SUMIFS('ANALITIKA EU PROJEKATA'!$H$3:$H$501,'ANALITIKA EU PROJEKATA'!$A$3:$A$501,"=61",'ANALITIKA EU PROJEKATA'!$Q$3:$Q$501,"=41")</f>
        <v>0</v>
      </c>
      <c r="T81" s="140">
        <f>SUMIFS('Plan rashoda za unos u SAP'!$J$3:$J$501,'Plan rashoda za unos u SAP'!$C$3:$C$501,"=63",'Plan rashoda za unos u SAP'!$N$3:$N$501,"=41")+SUMIFS('ANALITIKA EU PROJEKATA'!$H$3:$H$501,'ANALITIKA EU PROJEKATA'!$A$3:$A$501,"=63",'ANALITIKA EU PROJEKATA'!$Q$3:$Q$501,"=41")</f>
        <v>0</v>
      </c>
      <c r="U81" s="140">
        <f>SUMIFS('Plan rashoda za unos u SAP'!$J$3:$J$501,'Plan rashoda za unos u SAP'!$C$3:$C$501,"=71",'Plan rashoda za unos u SAP'!$N$3:$N$501,"=41")+SUMIFS('ANALITIKA EU PROJEKATA'!$H$3:$H$501,'ANALITIKA EU PROJEKATA'!$A$3:$A$501,"=71",'ANALITIKA EU PROJEKATA'!$Q$3:$Q$501,"=41")</f>
        <v>0</v>
      </c>
      <c r="V81" s="140">
        <f>SUMIFS('Plan rashoda za unos u SAP'!$J$3:$J$501,'Plan rashoda za unos u SAP'!$C$3:$C$501,"=81",'Plan rashoda za unos u SAP'!$N$3:$N$501,"=41")+SUMIFS('ANALITIKA EU PROJEKATA'!$H$3:$H$501,'ANALITIKA EU PROJEKATA'!$A$3:$A$501,"=81",'ANALITIKA EU PROJEKATA'!$Q$3:$Q$501,"=41")</f>
        <v>0</v>
      </c>
      <c r="W81" s="140">
        <f>SUMIFS('Plan rashoda za unos u SAP'!$J$3:$J$501,'Plan rashoda za unos u SAP'!$C$3:$C$501,"=83",'Plan rashoda za unos u SAP'!$N$3:$N$501,"=41")+SUMIFS('ANALITIKA EU PROJEKATA'!$H$3:$H$501,'ANALITIKA EU PROJEKATA'!$A$3:$A$501,"=83",'ANALITIKA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261</v>
      </c>
      <c r="D82" s="133">
        <f t="shared" si="21"/>
        <v>2897566</v>
      </c>
      <c r="E82" s="140">
        <f>SUMIFS('Plan rashoda za unos u SAP'!$J$3:$J$501,'Plan rashoda za unos u SAP'!$C$3:$C$501,"=11",'Plan rashoda za unos u SAP'!$N$3:$N$501,"=42")+SUMIFS('ANALITIKA EU PROJEKATA'!$H$3:$H$501,'ANALITIKA EU PROJEKATA'!$A$3:$A$501,"=11",'ANALITIKA EU PROJEKATA'!$Q$3:$Q$501,"=42")</f>
        <v>1643445</v>
      </c>
      <c r="F82" s="140">
        <f>SUMIFS('Plan rashoda za unos u SAP'!$J$3:$J$501,'Plan rashoda za unos u SAP'!$C$3:$C$501,"=12",'Plan rashoda za unos u SAP'!$N$3:$N$501,"=42")+SUMIFS('ANALITIKA EU PROJEKATA'!$H$3:$H$501,'ANALITIKA EU PROJEKATA'!$A$3:$A$501,"=12",'ANALITIKA EU PROJEKATA'!$Q$3:$Q$501,"=42")</f>
        <v>0</v>
      </c>
      <c r="G82" s="140">
        <f>SUMIFS('Plan rashoda za unos u SAP'!$J$3:$J$501,'Plan rashoda za unos u SAP'!$C$3:$C$501,"=31",'Plan rashoda za unos u SAP'!$N$3:$N$501,"=42")+SUMIFS('ANALITIKA EU PROJEKATA'!$H$3:$H$501,'ANALITIKA EU PROJEKATA'!$A$3:$A$501,"=31",'ANALITIKA EU PROJEKATA'!$Q$3:$Q$501,"=42")</f>
        <v>450000</v>
      </c>
      <c r="H82" s="140">
        <f>SUMIFS('Plan rashoda za unos u SAP'!$J$3:$J$501,'Plan rashoda za unos u SAP'!$C$3:$C$501,"=41",'Plan rashoda za unos u SAP'!$N$3:$N$501,"=42")+SUMIFS('ANALITIKA EU PROJEKATA'!$H$3:$H$501,'ANALITIKA EU PROJEKATA'!$A$3:$A$501,"=41",'ANALITIKA EU PROJEKATA'!$Q$3:$Q$501,"=42")</f>
        <v>0</v>
      </c>
      <c r="I82" s="140">
        <f>SUMIFS('Plan rashoda za unos u SAP'!$J$3:$J$501,'Plan rashoda za unos u SAP'!$C$3:$C$501,"=43",'Plan rashoda za unos u SAP'!$N$3:$N$501,"=42")+SUMIFS('ANALITIKA EU PROJEKATA'!$H$3:$H$501,'ANALITIKA EU PROJEKATA'!$A$3:$A$501,"=43",'ANALITIKA EU PROJEKATA'!$Q$3:$Q$501,"=42")</f>
        <v>670000</v>
      </c>
      <c r="J82" s="140">
        <f>SUMIFS('Plan rashoda za unos u SAP'!$J$3:$J$501,'Plan rashoda za unos u SAP'!$C$3:$C$501,"=51",'Plan rashoda za unos u SAP'!$N$3:$N$501,"=42")+SUMIFS('ANALITIKA EU PROJEKATA'!$H$3:$H$501,'ANALITIKA EU PROJEKATA'!$A$3:$A$501,"=51",'ANALITIKA EU PROJEKATA'!$Q$3:$Q$501,"=42")</f>
        <v>34121</v>
      </c>
      <c r="K82" s="140">
        <f>SUMIFS('Plan rashoda za unos u SAP'!$J$3:$J$501,'Plan rashoda za unos u SAP'!$C$3:$C$501,"=52",'Plan rashoda za unos u SAP'!$N$3:$N$501,"=42")+SUMIFS('ANALITIKA EU PROJEKATA'!$H$3:$H$501,'ANALITIKA EU PROJEKATA'!$A$3:$A$501,"=52",'ANALITIKA EU PROJEKATA'!$Q$3:$Q$501,"=42")</f>
        <v>100000</v>
      </c>
      <c r="L82" s="140">
        <f>SUMIFS('Plan rashoda za unos u SAP'!$J$3:$J$501,'Plan rashoda za unos u SAP'!$C$3:$C$501,"=552",'Plan rashoda za unos u SAP'!$N$3:$N$501,"=42")+SUMIFS('ANALITIKA EU PROJEKATA'!$H$3:$H$501,'ANALITIKA EU PROJEKATA'!$A$3:$A$501,"=552",'ANALITIKA EU PROJEKATA'!$Q$3:$Q$501,"=42")</f>
        <v>0</v>
      </c>
      <c r="M82" s="140">
        <f>SUMIFS('Plan rashoda za unos u SAP'!$J$3:$J$501,'Plan rashoda za unos u SAP'!$C$3:$C$501,"=559",'Plan rashoda za unos u SAP'!$N$3:$N$501,"=42")+SUMIFS('ANALITIKA EU PROJEKATA'!$H$3:$H$501,'ANALITIKA EU PROJEKATA'!$A$3:$A$501,"=559",'ANALITIKA EU PROJEKATA'!$Q$3:$Q$501,"=42")</f>
        <v>0</v>
      </c>
      <c r="N82" s="140">
        <f>SUMIFS('Plan rashoda za unos u SAP'!$J$3:$J$501,'Plan rashoda za unos u SAP'!$C$3:$C$501,"=561",'Plan rashoda za unos u SAP'!$N$3:$N$501,"=42")+SUMIFS('ANALITIKA EU PROJEKATA'!$H$3:$H$501,'ANALITIKA EU PROJEKATA'!$A$3:$A$501,"=561",'ANALITIKA EU PROJEKATA'!$Q$3:$Q$501,"=42")</f>
        <v>0</v>
      </c>
      <c r="O82" s="140">
        <f>SUMIFS('Plan rashoda za unos u SAP'!$J$3:$J$501,'Plan rashoda za unos u SAP'!$C$3:$C$501,"=563",'Plan rashoda za unos u SAP'!$N$3:$N$501,"=42")+SUMIFS('ANALITIKA EU PROJEKATA'!$H$3:$H$501,'ANALITIKA EU PROJEKATA'!$A$3:$A$501,"=563",'ANALITIKA EU PROJEKATA'!$Q$3:$Q$501,"=42")</f>
        <v>0</v>
      </c>
      <c r="P82" s="140">
        <f>SUMIFS('Plan rashoda za unos u SAP'!$J$3:$J$501,'Plan rashoda za unos u SAP'!$C$3:$C$501,"=573",'Plan rashoda za unos u SAP'!$N$3:$N$501,"=42")+SUMIFS('ANALITIKA EU PROJEKATA'!$H$3:$H$501,'ANALITIKA EU PROJEKATA'!$A$3:$A$501,"=573",'ANALITIKA EU PROJEKATA'!$Q$3:$Q$501,"=42")</f>
        <v>0</v>
      </c>
      <c r="Q82" s="140">
        <f>SUMIFS('Plan rashoda za unos u SAP'!$J$3:$J$501,'Plan rashoda za unos u SAP'!$C$3:$C$501,"=575",'Plan rashoda za unos u SAP'!$N$3:$N$501,"=42")+SUMIFS('ANALITIKA EU PROJEKATA'!$H$3:$H$501,'ANALITIKA EU PROJEKATA'!$A$3:$A$501,"=575",'ANALITIKA EU PROJEKATA'!$Q$3:$Q$501,"=42")</f>
        <v>0</v>
      </c>
      <c r="R82" s="140">
        <f>SUMIFS('Plan rashoda za unos u SAP'!$J$3:$J$501,'Plan rashoda za unos u SAP'!$C$3:$C$501,"=576",'Plan rashoda za unos u SAP'!$N$3:$N$501,"=42")+SUMIFS('ANALITIKA EU PROJEKATA'!$H$3:$H$501,'ANALITIKA EU PROJEKATA'!$A$3:$A$501,"=576",'ANALITIKA EU PROJEKATA'!$Q$3:$Q$501,"=42")</f>
        <v>0</v>
      </c>
      <c r="S82" s="140">
        <f>SUMIFS('Plan rashoda za unos u SAP'!$J$3:$J$501,'Plan rashoda za unos u SAP'!$C$3:$C$501,"=61",'Plan rashoda za unos u SAP'!$N$3:$N$501,"=42")+SUMIFS('ANALITIKA EU PROJEKATA'!$H$3:$H$501,'ANALITIKA EU PROJEKATA'!$A$3:$A$501,"=61",'ANALITIKA EU PROJEKATA'!$Q$3:$Q$501,"=42")</f>
        <v>0</v>
      </c>
      <c r="T82" s="140">
        <f>SUMIFS('Plan rashoda za unos u SAP'!$J$3:$J$501,'Plan rashoda za unos u SAP'!$C$3:$C$501,"=63",'Plan rashoda za unos u SAP'!$N$3:$N$501,"=42")+SUMIFS('ANALITIKA EU PROJEKATA'!$H$3:$H$501,'ANALITIKA EU PROJEKATA'!$A$3:$A$501,"=63",'ANALITIKA EU PROJEKATA'!$Q$3:$Q$501,"=42")</f>
        <v>0</v>
      </c>
      <c r="U82" s="140">
        <f>SUMIFS('Plan rashoda za unos u SAP'!$J$3:$J$501,'Plan rashoda za unos u SAP'!$C$3:$C$501,"=71",'Plan rashoda za unos u SAP'!$N$3:$N$501,"=42")+SUMIFS('ANALITIKA EU PROJEKATA'!$H$3:$H$501,'ANALITIKA EU PROJEKATA'!$A$3:$A$501,"=71",'ANALITIKA EU PROJEKATA'!$Q$3:$Q$501,"=42")</f>
        <v>0</v>
      </c>
      <c r="V82" s="140">
        <f>SUMIFS('Plan rashoda za unos u SAP'!$J$3:$J$501,'Plan rashoda za unos u SAP'!$C$3:$C$501,"=81",'Plan rashoda za unos u SAP'!$N$3:$N$501,"=42")+SUMIFS('ANALITIKA EU PROJEKATA'!$H$3:$H$501,'ANALITIKA EU PROJEKATA'!$A$3:$A$501,"=81",'ANALITIKA EU PROJEKATA'!$Q$3:$Q$501,"=42")</f>
        <v>0</v>
      </c>
      <c r="W82" s="140">
        <f>SUMIFS('Plan rashoda za unos u SAP'!$J$3:$J$501,'Plan rashoda za unos u SAP'!$C$3:$C$501,"=83",'Plan rashoda za unos u SAP'!$N$3:$N$501,"=42")+SUMIFS('ANALITIKA EU PROJEKATA'!$H$3:$H$501,'ANALITIKA EU PROJEKATA'!$A$3:$A$501,"=83",'ANALITIKA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344</v>
      </c>
      <c r="D83" s="133">
        <f t="shared" si="21"/>
        <v>0</v>
      </c>
      <c r="E83" s="140">
        <f>SUMIFS('Plan rashoda za unos u SAP'!$J$3:$J$501,'Plan rashoda za unos u SAP'!$C$3:$C$501,"=11",'Plan rashoda za unos u SAP'!$N$3:$N$501,"=43")+SUMIFS('ANALITIKA EU PROJEKATA'!$H$3:$H$501,'ANALITIKA EU PROJEKATA'!$A$3:$A$501,"=11",'ANALITIKA EU PROJEKATA'!$Q$3:$Q$501,"=43")</f>
        <v>0</v>
      </c>
      <c r="F83" s="140">
        <f>SUMIFS('Plan rashoda za unos u SAP'!$J$3:$J$501,'Plan rashoda za unos u SAP'!$C$3:$C$501,"=12",'Plan rashoda za unos u SAP'!$N$3:$N$501,"=43")+SUMIFS('ANALITIKA EU PROJEKATA'!$H$3:$H$501,'ANALITIKA EU PROJEKATA'!$A$3:$A$501,"=12",'ANALITIKA EU PROJEKATA'!$Q$3:$Q$501,"=43")</f>
        <v>0</v>
      </c>
      <c r="G83" s="140">
        <f>SUMIFS('Plan rashoda za unos u SAP'!$J$3:$J$501,'Plan rashoda za unos u SAP'!$C$3:$C$501,"=31",'Plan rashoda za unos u SAP'!$N$3:$N$501,"=43")+SUMIFS('ANALITIKA EU PROJEKATA'!$H$3:$H$501,'ANALITIKA EU PROJEKATA'!$A$3:$A$501,"=31",'ANALITIKA EU PROJEKATA'!$Q$3:$Q$501,"=43")</f>
        <v>0</v>
      </c>
      <c r="H83" s="140">
        <f>SUMIFS('Plan rashoda za unos u SAP'!$J$3:$J$501,'Plan rashoda za unos u SAP'!$C$3:$C$501,"=41",'Plan rashoda za unos u SAP'!$N$3:$N$501,"=43")+SUMIFS('ANALITIKA EU PROJEKATA'!$H$3:$H$501,'ANALITIKA EU PROJEKATA'!$A$3:$A$501,"=41",'ANALITIKA EU PROJEKATA'!$Q$3:$Q$501,"=43")</f>
        <v>0</v>
      </c>
      <c r="I83" s="140">
        <f>SUMIFS('Plan rashoda za unos u SAP'!$J$3:$J$501,'Plan rashoda za unos u SAP'!$C$3:$C$501,"=43",'Plan rashoda za unos u SAP'!$N$3:$N$501,"=43")+SUMIFS('ANALITIKA EU PROJEKATA'!$H$3:$H$501,'ANALITIKA EU PROJEKATA'!$A$3:$A$501,"=43",'ANALITIKA EU PROJEKATA'!$Q$3:$Q$501,"=43")</f>
        <v>0</v>
      </c>
      <c r="J83" s="140">
        <f>SUMIFS('Plan rashoda za unos u SAP'!$J$3:$J$501,'Plan rashoda za unos u SAP'!$C$3:$C$501,"=51",'Plan rashoda za unos u SAP'!$N$3:$N$501,"=43")+SUMIFS('ANALITIKA EU PROJEKATA'!$H$3:$H$501,'ANALITIKA EU PROJEKATA'!$A$3:$A$501,"=51",'ANALITIKA EU PROJEKATA'!$Q$3:$Q$501,"=43")</f>
        <v>0</v>
      </c>
      <c r="K83" s="140">
        <f>SUMIFS('Plan rashoda za unos u SAP'!$J$3:$J$501,'Plan rashoda za unos u SAP'!$C$3:$C$501,"=52",'Plan rashoda za unos u SAP'!$N$3:$N$501,"=43")+SUMIFS('ANALITIKA EU PROJEKATA'!$H$3:$H$501,'ANALITIKA EU PROJEKATA'!$A$3:$A$501,"=52",'ANALITIKA EU PROJEKATA'!$Q$3:$Q$501,"=43")</f>
        <v>0</v>
      </c>
      <c r="L83" s="140">
        <f>SUMIFS('Plan rashoda za unos u SAP'!$J$3:$J$501,'Plan rashoda za unos u SAP'!$C$3:$C$501,"=552",'Plan rashoda za unos u SAP'!$N$3:$N$501,"=43")+SUMIFS('ANALITIKA EU PROJEKATA'!$H$3:$H$501,'ANALITIKA EU PROJEKATA'!$A$3:$A$501,"=552",'ANALITIKA EU PROJEKATA'!$Q$3:$Q$501,"=43")</f>
        <v>0</v>
      </c>
      <c r="M83" s="140">
        <f>SUMIFS('Plan rashoda za unos u SAP'!$J$3:$J$501,'Plan rashoda za unos u SAP'!$C$3:$C$501,"=559",'Plan rashoda za unos u SAP'!$N$3:$N$501,"=43")+SUMIFS('ANALITIKA EU PROJEKATA'!$H$3:$H$501,'ANALITIKA EU PROJEKATA'!$A$3:$A$501,"=559",'ANALITIKA EU PROJEKATA'!$Q$3:$Q$501,"=43")</f>
        <v>0</v>
      </c>
      <c r="N83" s="140">
        <f>SUMIFS('Plan rashoda za unos u SAP'!$J$3:$J$501,'Plan rashoda za unos u SAP'!$C$3:$C$501,"=561",'Plan rashoda za unos u SAP'!$N$3:$N$501,"=43")+SUMIFS('ANALITIKA EU PROJEKATA'!$H$3:$H$501,'ANALITIKA EU PROJEKATA'!$A$3:$A$501,"=561",'ANALITIKA EU PROJEKATA'!$Q$3:$Q$501,"=43")</f>
        <v>0</v>
      </c>
      <c r="O83" s="140">
        <f>SUMIFS('Plan rashoda za unos u SAP'!$J$3:$J$501,'Plan rashoda za unos u SAP'!$C$3:$C$501,"=563",'Plan rashoda za unos u SAP'!$N$3:$N$501,"=43")+SUMIFS('ANALITIKA EU PROJEKATA'!$H$3:$H$501,'ANALITIKA EU PROJEKATA'!$A$3:$A$501,"=563",'ANALITIKA EU PROJEKATA'!$Q$3:$Q$501,"=43")</f>
        <v>0</v>
      </c>
      <c r="P83" s="140">
        <f>SUMIFS('Plan rashoda za unos u SAP'!$J$3:$J$501,'Plan rashoda za unos u SAP'!$C$3:$C$501,"=573",'Plan rashoda za unos u SAP'!$N$3:$N$501,"=43")+SUMIFS('ANALITIKA EU PROJEKATA'!$H$3:$H$501,'ANALITIKA EU PROJEKATA'!$A$3:$A$501,"=573",'ANALITIKA EU PROJEKATA'!$Q$3:$Q$501,"=43")</f>
        <v>0</v>
      </c>
      <c r="Q83" s="140">
        <f>SUMIFS('Plan rashoda za unos u SAP'!$J$3:$J$501,'Plan rashoda za unos u SAP'!$C$3:$C$501,"=575",'Plan rashoda za unos u SAP'!$N$3:$N$501,"=43")+SUMIFS('ANALITIKA EU PROJEKATA'!$H$3:$H$501,'ANALITIKA EU PROJEKATA'!$A$3:$A$501,"=575",'ANALITIKA EU PROJEKATA'!$Q$3:$Q$501,"=43")</f>
        <v>0</v>
      </c>
      <c r="R83" s="140">
        <f>SUMIFS('Plan rashoda za unos u SAP'!$J$3:$J$501,'Plan rashoda za unos u SAP'!$C$3:$C$501,"=576",'Plan rashoda za unos u SAP'!$N$3:$N$501,"=43")+SUMIFS('ANALITIKA EU PROJEKATA'!$H$3:$H$501,'ANALITIKA EU PROJEKATA'!$A$3:$A$501,"=576",'ANALITIKA EU PROJEKATA'!$Q$3:$Q$501,"=43")</f>
        <v>0</v>
      </c>
      <c r="S83" s="140">
        <f>SUMIFS('Plan rashoda za unos u SAP'!$J$3:$J$501,'Plan rashoda za unos u SAP'!$C$3:$C$501,"=61",'Plan rashoda za unos u SAP'!$N$3:$N$501,"=43")+SUMIFS('ANALITIKA EU PROJEKATA'!$H$3:$H$501,'ANALITIKA EU PROJEKATA'!$A$3:$A$501,"=61",'ANALITIKA EU PROJEKATA'!$Q$3:$Q$501,"=43")</f>
        <v>0</v>
      </c>
      <c r="T83" s="140">
        <f>SUMIFS('Plan rashoda za unos u SAP'!$J$3:$J$501,'Plan rashoda za unos u SAP'!$C$3:$C$501,"=63",'Plan rashoda za unos u SAP'!$N$3:$N$501,"=43")+SUMIFS('ANALITIKA EU PROJEKATA'!$H$3:$H$501,'ANALITIKA EU PROJEKATA'!$A$3:$A$501,"=63",'ANALITIKA EU PROJEKATA'!$Q$3:$Q$501,"=43")</f>
        <v>0</v>
      </c>
      <c r="U83" s="140">
        <f>SUMIFS('Plan rashoda za unos u SAP'!$J$3:$J$501,'Plan rashoda za unos u SAP'!$C$3:$C$501,"=71",'Plan rashoda za unos u SAP'!$N$3:$N$501,"=43")+SUMIFS('ANALITIKA EU PROJEKATA'!$H$3:$H$501,'ANALITIKA EU PROJEKATA'!$A$3:$A$501,"=71",'ANALITIKA EU PROJEKATA'!$Q$3:$Q$501,"=43")</f>
        <v>0</v>
      </c>
      <c r="V83" s="140">
        <f>SUMIFS('Plan rashoda za unos u SAP'!$J$3:$J$501,'Plan rashoda za unos u SAP'!$C$3:$C$501,"=81",'Plan rashoda za unos u SAP'!$N$3:$N$501,"=43")+SUMIFS('ANALITIKA EU PROJEKATA'!$H$3:$H$501,'ANALITIKA EU PROJEKATA'!$A$3:$A$501,"=81",'ANALITIKA EU PROJEKATA'!$Q$3:$Q$501,"=43")</f>
        <v>0</v>
      </c>
      <c r="W83" s="140">
        <f>SUMIFS('Plan rashoda za unos u SAP'!$J$3:$J$501,'Plan rashoda za unos u SAP'!$C$3:$C$501,"=83",'Plan rashoda za unos u SAP'!$N$3:$N$501,"=43")+SUMIFS('ANALITIKA EU PROJEKATA'!$H$3:$H$501,'ANALITIKA EU PROJEKATA'!$A$3:$A$501,"=83",'ANALITIKA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345</v>
      </c>
      <c r="D84" s="133">
        <f t="shared" si="21"/>
        <v>0</v>
      </c>
      <c r="E84" s="140">
        <f>SUMIFS('Plan rashoda za unos u SAP'!$J$3:$J$501,'Plan rashoda za unos u SAP'!$C$3:$C$501,"=11",'Plan rashoda za unos u SAP'!$N$3:$N$501,"=44")+SUMIFS('ANALITIKA EU PROJEKATA'!$H$3:$H$501,'ANALITIKA EU PROJEKATA'!$A$3:$A$501,"=11",'ANALITIKA EU PROJEKATA'!$Q$3:$Q$501,"=44")</f>
        <v>0</v>
      </c>
      <c r="F84" s="140">
        <f>SUMIFS('Plan rashoda za unos u SAP'!$J$3:$J$501,'Plan rashoda za unos u SAP'!$C$3:$C$501,"=12",'Plan rashoda za unos u SAP'!$N$3:$N$501,"=44")+SUMIFS('ANALITIKA EU PROJEKATA'!$H$3:$H$501,'ANALITIKA EU PROJEKATA'!$A$3:$A$501,"=12",'ANALITIKA EU PROJEKATA'!$Q$3:$Q$501,"=44")</f>
        <v>0</v>
      </c>
      <c r="G84" s="140">
        <f>SUMIFS('Plan rashoda za unos u SAP'!$J$3:$J$501,'Plan rashoda za unos u SAP'!$C$3:$C$501,"=31",'Plan rashoda za unos u SAP'!$N$3:$N$501,"=44")+SUMIFS('ANALITIKA EU PROJEKATA'!$H$3:$H$501,'ANALITIKA EU PROJEKATA'!$A$3:$A$501,"=31",'ANALITIKA EU PROJEKATA'!$Q$3:$Q$501,"=44")</f>
        <v>0</v>
      </c>
      <c r="H84" s="140">
        <f>SUMIFS('Plan rashoda za unos u SAP'!$J$3:$J$501,'Plan rashoda za unos u SAP'!$C$3:$C$501,"=41",'Plan rashoda za unos u SAP'!$N$3:$N$501,"=44")+SUMIFS('ANALITIKA EU PROJEKATA'!$H$3:$H$501,'ANALITIKA EU PROJEKATA'!$A$3:$A$501,"=41",'ANALITIKA EU PROJEKATA'!$Q$3:$Q$501,"=44")</f>
        <v>0</v>
      </c>
      <c r="I84" s="140">
        <f>SUMIFS('Plan rashoda za unos u SAP'!$J$3:$J$501,'Plan rashoda za unos u SAP'!$C$3:$C$501,"=43",'Plan rashoda za unos u SAP'!$N$3:$N$501,"=44")+SUMIFS('ANALITIKA EU PROJEKATA'!$H$3:$H$501,'ANALITIKA EU PROJEKATA'!$A$3:$A$501,"=43",'ANALITIKA EU PROJEKATA'!$Q$3:$Q$501,"=44")</f>
        <v>0</v>
      </c>
      <c r="J84" s="140">
        <f>SUMIFS('Plan rashoda za unos u SAP'!$J$3:$J$501,'Plan rashoda za unos u SAP'!$C$3:$C$501,"=51",'Plan rashoda za unos u SAP'!$N$3:$N$501,"=44")+SUMIFS('ANALITIKA EU PROJEKATA'!$H$3:$H$501,'ANALITIKA EU PROJEKATA'!$A$3:$A$501,"=51",'ANALITIKA EU PROJEKATA'!$Q$3:$Q$501,"=44")</f>
        <v>0</v>
      </c>
      <c r="K84" s="140">
        <f>SUMIFS('Plan rashoda za unos u SAP'!$J$3:$J$501,'Plan rashoda za unos u SAP'!$C$3:$C$501,"=52",'Plan rashoda za unos u SAP'!$N$3:$N$501,"=44")+SUMIFS('ANALITIKA EU PROJEKATA'!$H$3:$H$501,'ANALITIKA EU PROJEKATA'!$A$3:$A$501,"=52",'ANALITIKA EU PROJEKATA'!$Q$3:$Q$501,"=44")</f>
        <v>0</v>
      </c>
      <c r="L84" s="140">
        <f>SUMIFS('Plan rashoda za unos u SAP'!$J$3:$J$501,'Plan rashoda za unos u SAP'!$C$3:$C$501,"=552",'Plan rashoda za unos u SAP'!$N$3:$N$501,"=44")+SUMIFS('ANALITIKA EU PROJEKATA'!$H$3:$H$501,'ANALITIKA EU PROJEKATA'!$A$3:$A$501,"=552",'ANALITIKA EU PROJEKATA'!$Q$3:$Q$501,"=44")</f>
        <v>0</v>
      </c>
      <c r="M84" s="140">
        <f>SUMIFS('Plan rashoda za unos u SAP'!$J$3:$J$501,'Plan rashoda za unos u SAP'!$C$3:$C$501,"=559",'Plan rashoda za unos u SAP'!$N$3:$N$501,"=44")+SUMIFS('ANALITIKA EU PROJEKATA'!$H$3:$H$501,'ANALITIKA EU PROJEKATA'!$A$3:$A$501,"=559",'ANALITIKA EU PROJEKATA'!$Q$3:$Q$501,"=44")</f>
        <v>0</v>
      </c>
      <c r="N84" s="140">
        <f>SUMIFS('Plan rashoda za unos u SAP'!$J$3:$J$501,'Plan rashoda za unos u SAP'!$C$3:$C$501,"=561",'Plan rashoda za unos u SAP'!$N$3:$N$501,"=44")+SUMIFS('ANALITIKA EU PROJEKATA'!$H$3:$H$501,'ANALITIKA EU PROJEKATA'!$A$3:$A$501,"=561",'ANALITIKA EU PROJEKATA'!$Q$3:$Q$501,"=44")</f>
        <v>0</v>
      </c>
      <c r="O84" s="140">
        <f>SUMIFS('Plan rashoda za unos u SAP'!$J$3:$J$501,'Plan rashoda za unos u SAP'!$C$3:$C$501,"=563",'Plan rashoda za unos u SAP'!$N$3:$N$501,"=44")+SUMIFS('ANALITIKA EU PROJEKATA'!$H$3:$H$501,'ANALITIKA EU PROJEKATA'!$A$3:$A$501,"=563",'ANALITIKA EU PROJEKATA'!$Q$3:$Q$501,"=44")</f>
        <v>0</v>
      </c>
      <c r="P84" s="140">
        <f>SUMIFS('Plan rashoda za unos u SAP'!$J$3:$J$501,'Plan rashoda za unos u SAP'!$C$3:$C$501,"=573",'Plan rashoda za unos u SAP'!$N$3:$N$501,"=44")+SUMIFS('ANALITIKA EU PROJEKATA'!$H$3:$H$501,'ANALITIKA EU PROJEKATA'!$A$3:$A$501,"=573",'ANALITIKA EU PROJEKATA'!$Q$3:$Q$501,"=44")</f>
        <v>0</v>
      </c>
      <c r="Q84" s="140">
        <f>SUMIFS('Plan rashoda za unos u SAP'!$J$3:$J$501,'Plan rashoda za unos u SAP'!$C$3:$C$501,"=575",'Plan rashoda za unos u SAP'!$N$3:$N$501,"=44")+SUMIFS('ANALITIKA EU PROJEKATA'!$H$3:$H$501,'ANALITIKA EU PROJEKATA'!$A$3:$A$501,"=575",'ANALITIKA EU PROJEKATA'!$Q$3:$Q$501,"=44")</f>
        <v>0</v>
      </c>
      <c r="R84" s="140">
        <f>SUMIFS('Plan rashoda za unos u SAP'!$J$3:$J$501,'Plan rashoda za unos u SAP'!$C$3:$C$501,"=576",'Plan rashoda za unos u SAP'!$N$3:$N$501,"=44")+SUMIFS('ANALITIKA EU PROJEKATA'!$H$3:$H$501,'ANALITIKA EU PROJEKATA'!$A$3:$A$501,"=576",'ANALITIKA EU PROJEKATA'!$Q$3:$Q$501,"=44")</f>
        <v>0</v>
      </c>
      <c r="S84" s="140">
        <f>SUMIFS('Plan rashoda za unos u SAP'!$J$3:$J$501,'Plan rashoda za unos u SAP'!$C$3:$C$501,"=61",'Plan rashoda za unos u SAP'!$N$3:$N$501,"=44")+SUMIFS('ANALITIKA EU PROJEKATA'!$H$3:$H$501,'ANALITIKA EU PROJEKATA'!$A$3:$A$501,"=61",'ANALITIKA EU PROJEKATA'!$Q$3:$Q$501,"=44")</f>
        <v>0</v>
      </c>
      <c r="T84" s="140">
        <f>SUMIFS('Plan rashoda za unos u SAP'!$J$3:$J$501,'Plan rashoda za unos u SAP'!$C$3:$C$501,"=63",'Plan rashoda za unos u SAP'!$N$3:$N$501,"=44")+SUMIFS('ANALITIKA EU PROJEKATA'!$H$3:$H$501,'ANALITIKA EU PROJEKATA'!$A$3:$A$501,"=63",'ANALITIKA EU PROJEKATA'!$Q$3:$Q$501,"=44")</f>
        <v>0</v>
      </c>
      <c r="U84" s="140">
        <f>SUMIFS('Plan rashoda za unos u SAP'!$J$3:$J$501,'Plan rashoda za unos u SAP'!$C$3:$C$501,"=71",'Plan rashoda za unos u SAP'!$N$3:$N$501,"=44")+SUMIFS('ANALITIKA EU PROJEKATA'!$H$3:$H$501,'ANALITIKA EU PROJEKATA'!$A$3:$A$501,"=71",'ANALITIKA EU PROJEKATA'!$Q$3:$Q$501,"=44")</f>
        <v>0</v>
      </c>
      <c r="V84" s="140">
        <f>SUMIFS('Plan rashoda za unos u SAP'!$J$3:$J$501,'Plan rashoda za unos u SAP'!$C$3:$C$501,"=81",'Plan rashoda za unos u SAP'!$N$3:$N$501,"=44")+SUMIFS('ANALITIKA EU PROJEKATA'!$H$3:$H$501,'ANALITIKA EU PROJEKATA'!$A$3:$A$501,"=81",'ANALITIKA EU PROJEKATA'!$Q$3:$Q$501,"=44")</f>
        <v>0</v>
      </c>
      <c r="W84" s="140">
        <f>SUMIFS('Plan rashoda za unos u SAP'!$J$3:$J$501,'Plan rashoda za unos u SAP'!$C$3:$C$501,"=83",'Plan rashoda za unos u SAP'!$N$3:$N$501,"=44")+SUMIFS('ANALITIKA EU PROJEKATA'!$H$3:$H$501,'ANALITIKA EU PROJEKATA'!$A$3:$A$501,"=83",'ANALITIKA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222</v>
      </c>
      <c r="D85" s="133">
        <f t="shared" si="21"/>
        <v>0</v>
      </c>
      <c r="E85" s="140">
        <f>SUMIFS('Plan rashoda za unos u SAP'!$J$3:$J$501,'Plan rashoda za unos u SAP'!$C$3:$C$501,"=11",'Plan rashoda za unos u SAP'!$N$3:$N$501,"=45")+SUMIFS('ANALITIKA EU PROJEKATA'!$H$3:$H$501,'ANALITIKA EU PROJEKATA'!$A$3:$A$501,"=11",'ANALITIKA EU PROJEKATA'!$Q$3:$Q$501,"=45")</f>
        <v>0</v>
      </c>
      <c r="F85" s="140">
        <f>SUMIFS('Plan rashoda za unos u SAP'!$J$3:$J$501,'Plan rashoda za unos u SAP'!$C$3:$C$501,"=12",'Plan rashoda za unos u SAP'!$N$3:$N$501,"=45")+SUMIFS('ANALITIKA EU PROJEKATA'!$H$3:$H$501,'ANALITIKA EU PROJEKATA'!$A$3:$A$501,"=12",'ANALITIKA EU PROJEKATA'!$Q$3:$Q$501,"=45")</f>
        <v>0</v>
      </c>
      <c r="G85" s="140">
        <f>SUMIFS('Plan rashoda za unos u SAP'!$J$3:$J$501,'Plan rashoda za unos u SAP'!$C$3:$C$501,"=31",'Plan rashoda za unos u SAP'!$N$3:$N$501,"=45")+SUMIFS('ANALITIKA EU PROJEKATA'!$H$3:$H$501,'ANALITIKA EU PROJEKATA'!$A$3:$A$501,"=31",'ANALITIKA EU PROJEKATA'!$Q$3:$Q$501,"=45")</f>
        <v>0</v>
      </c>
      <c r="H85" s="140">
        <f>SUMIFS('Plan rashoda za unos u SAP'!$J$3:$J$501,'Plan rashoda za unos u SAP'!$C$3:$C$501,"=41",'Plan rashoda za unos u SAP'!$N$3:$N$501,"=45")+SUMIFS('ANALITIKA EU PROJEKATA'!$H$3:$H$501,'ANALITIKA EU PROJEKATA'!$A$3:$A$501,"=41",'ANALITIKA EU PROJEKATA'!$Q$3:$Q$501,"=45")</f>
        <v>0</v>
      </c>
      <c r="I85" s="140">
        <f>SUMIFS('Plan rashoda za unos u SAP'!$J$3:$J$501,'Plan rashoda za unos u SAP'!$C$3:$C$501,"=43",'Plan rashoda za unos u SAP'!$N$3:$N$501,"=45")+SUMIFS('ANALITIKA EU PROJEKATA'!$H$3:$H$501,'ANALITIKA EU PROJEKATA'!$A$3:$A$501,"=43",'ANALITIKA EU PROJEKATA'!$Q$3:$Q$501,"=45")</f>
        <v>0</v>
      </c>
      <c r="J85" s="140">
        <f>SUMIFS('Plan rashoda za unos u SAP'!$J$3:$J$501,'Plan rashoda za unos u SAP'!$C$3:$C$501,"=51",'Plan rashoda za unos u SAP'!$N$3:$N$501,"=45")+SUMIFS('ANALITIKA EU PROJEKATA'!$H$3:$H$501,'ANALITIKA EU PROJEKATA'!$A$3:$A$501,"=51",'ANALITIKA EU PROJEKATA'!$Q$3:$Q$501,"=45")</f>
        <v>0</v>
      </c>
      <c r="K85" s="140">
        <f>SUMIFS('Plan rashoda za unos u SAP'!$J$3:$J$501,'Plan rashoda za unos u SAP'!$C$3:$C$501,"=52",'Plan rashoda za unos u SAP'!$N$3:$N$501,"=45")+SUMIFS('ANALITIKA EU PROJEKATA'!$H$3:$H$501,'ANALITIKA EU PROJEKATA'!$A$3:$A$501,"=52",'ANALITIKA EU PROJEKATA'!$Q$3:$Q$501,"=45")</f>
        <v>0</v>
      </c>
      <c r="L85" s="140">
        <f>SUMIFS('Plan rashoda za unos u SAP'!$J$3:$J$501,'Plan rashoda za unos u SAP'!$C$3:$C$501,"=552",'Plan rashoda za unos u SAP'!$N$3:$N$501,"=45")+SUMIFS('ANALITIKA EU PROJEKATA'!$H$3:$H$501,'ANALITIKA EU PROJEKATA'!$A$3:$A$501,"=552",'ANALITIKA EU PROJEKATA'!$Q$3:$Q$501,"=45")</f>
        <v>0</v>
      </c>
      <c r="M85" s="140">
        <f>SUMIFS('Plan rashoda za unos u SAP'!$J$3:$J$501,'Plan rashoda za unos u SAP'!$C$3:$C$501,"=559",'Plan rashoda za unos u SAP'!$N$3:$N$501,"=45")+SUMIFS('ANALITIKA EU PROJEKATA'!$H$3:$H$501,'ANALITIKA EU PROJEKATA'!$A$3:$A$501,"=559",'ANALITIKA EU PROJEKATA'!$Q$3:$Q$501,"=45")</f>
        <v>0</v>
      </c>
      <c r="N85" s="140">
        <f>SUMIFS('Plan rashoda za unos u SAP'!$J$3:$J$501,'Plan rashoda za unos u SAP'!$C$3:$C$501,"=561",'Plan rashoda za unos u SAP'!$N$3:$N$501,"=45")+SUMIFS('ANALITIKA EU PROJEKATA'!$H$3:$H$501,'ANALITIKA EU PROJEKATA'!$A$3:$A$501,"=561",'ANALITIKA EU PROJEKATA'!$Q$3:$Q$501,"=45")</f>
        <v>0</v>
      </c>
      <c r="O85" s="140">
        <f>SUMIFS('Plan rashoda za unos u SAP'!$J$3:$J$501,'Plan rashoda za unos u SAP'!$C$3:$C$501,"=563",'Plan rashoda za unos u SAP'!$N$3:$N$501,"=45")+SUMIFS('ANALITIKA EU PROJEKATA'!$H$3:$H$501,'ANALITIKA EU PROJEKATA'!$A$3:$A$501,"=563",'ANALITIKA EU PROJEKATA'!$Q$3:$Q$501,"=45")</f>
        <v>0</v>
      </c>
      <c r="P85" s="140">
        <f>SUMIFS('Plan rashoda za unos u SAP'!$J$3:$J$501,'Plan rashoda za unos u SAP'!$C$3:$C$501,"=573",'Plan rashoda za unos u SAP'!$N$3:$N$501,"=45")+SUMIFS('ANALITIKA EU PROJEKATA'!$H$3:$H$501,'ANALITIKA EU PROJEKATA'!$A$3:$A$501,"=573",'ANALITIKA EU PROJEKATA'!$Q$3:$Q$501,"=45")</f>
        <v>0</v>
      </c>
      <c r="Q85" s="140">
        <f>SUMIFS('Plan rashoda za unos u SAP'!$J$3:$J$501,'Plan rashoda za unos u SAP'!$C$3:$C$501,"=575",'Plan rashoda za unos u SAP'!$N$3:$N$501,"=45")+SUMIFS('ANALITIKA EU PROJEKATA'!$H$3:$H$501,'ANALITIKA EU PROJEKATA'!$A$3:$A$501,"=575",'ANALITIKA EU PROJEKATA'!$Q$3:$Q$501,"=45")</f>
        <v>0</v>
      </c>
      <c r="R85" s="140">
        <f>SUMIFS('Plan rashoda za unos u SAP'!$J$3:$J$501,'Plan rashoda za unos u SAP'!$C$3:$C$501,"=576",'Plan rashoda za unos u SAP'!$N$3:$N$501,"=45")+SUMIFS('ANALITIKA EU PROJEKATA'!$H$3:$H$501,'ANALITIKA EU PROJEKATA'!$A$3:$A$501,"=576",'ANALITIKA EU PROJEKATA'!$Q$3:$Q$501,"=45")</f>
        <v>0</v>
      </c>
      <c r="S85" s="140">
        <f>SUMIFS('Plan rashoda za unos u SAP'!$J$3:$J$501,'Plan rashoda za unos u SAP'!$C$3:$C$501,"=61",'Plan rashoda za unos u SAP'!$N$3:$N$501,"=45")+SUMIFS('ANALITIKA EU PROJEKATA'!$H$3:$H$501,'ANALITIKA EU PROJEKATA'!$A$3:$A$501,"=61",'ANALITIKA EU PROJEKATA'!$Q$3:$Q$501,"=45")</f>
        <v>0</v>
      </c>
      <c r="T85" s="140">
        <f>SUMIFS('Plan rashoda za unos u SAP'!$J$3:$J$501,'Plan rashoda za unos u SAP'!$C$3:$C$501,"=63",'Plan rashoda za unos u SAP'!$N$3:$N$501,"=45")+SUMIFS('ANALITIKA EU PROJEKATA'!$H$3:$H$501,'ANALITIKA EU PROJEKATA'!$A$3:$A$501,"=63",'ANALITIKA EU PROJEKATA'!$Q$3:$Q$501,"=45")</f>
        <v>0</v>
      </c>
      <c r="U85" s="140">
        <f>SUMIFS('Plan rashoda za unos u SAP'!$J$3:$J$501,'Plan rashoda za unos u SAP'!$C$3:$C$501,"=71",'Plan rashoda za unos u SAP'!$N$3:$N$501,"=45")+SUMIFS('ANALITIKA EU PROJEKATA'!$H$3:$H$501,'ANALITIKA EU PROJEKATA'!$A$3:$A$501,"=71",'ANALITIKA EU PROJEKATA'!$Q$3:$Q$501,"=45")</f>
        <v>0</v>
      </c>
      <c r="V85" s="140">
        <f>SUMIFS('Plan rashoda za unos u SAP'!$J$3:$J$501,'Plan rashoda za unos u SAP'!$C$3:$C$501,"=81",'Plan rashoda za unos u SAP'!$N$3:$N$501,"=45")+SUMIFS('ANALITIKA EU PROJEKATA'!$H$3:$H$501,'ANALITIKA EU PROJEKATA'!$A$3:$A$501,"=81",'ANALITIKA EU PROJEKATA'!$Q$3:$Q$501,"=45")</f>
        <v>0</v>
      </c>
      <c r="W85" s="140">
        <f>SUMIFS('Plan rashoda za unos u SAP'!$J$3:$J$501,'Plan rashoda za unos u SAP'!$C$3:$C$501,"=83",'Plan rashoda za unos u SAP'!$N$3:$N$501,"=45")+SUMIFS('ANALITIKA EU PROJEKATA'!$H$3:$H$501,'ANALITIKA EU PROJEKATA'!$A$3:$A$501,"=83",'ANALITIKA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1"/>
        <v>0</v>
      </c>
      <c r="E86" s="125">
        <f t="shared" ref="E86:V86" si="24">SUM(E87:E88)</f>
        <v>0</v>
      </c>
      <c r="F86" s="125">
        <f t="shared" si="24"/>
        <v>0</v>
      </c>
      <c r="G86" s="125">
        <f t="shared" si="24"/>
        <v>0</v>
      </c>
      <c r="H86" s="125">
        <f>SUM(H87:H88)</f>
        <v>0</v>
      </c>
      <c r="I86" s="125">
        <f t="shared" si="24"/>
        <v>0</v>
      </c>
      <c r="J86" s="125">
        <f t="shared" si="24"/>
        <v>0</v>
      </c>
      <c r="K86" s="125">
        <f t="shared" si="24"/>
        <v>0</v>
      </c>
      <c r="L86" s="125">
        <f>SUM(L87:L88)</f>
        <v>0</v>
      </c>
      <c r="M86" s="125">
        <f t="shared" si="24"/>
        <v>0</v>
      </c>
      <c r="N86" s="125">
        <f t="shared" si="24"/>
        <v>0</v>
      </c>
      <c r="O86" s="125">
        <f t="shared" si="24"/>
        <v>0</v>
      </c>
      <c r="P86" s="125">
        <f>SUM(P87:P88)</f>
        <v>0</v>
      </c>
      <c r="Q86" s="125">
        <f>SUM(Q87:Q88)</f>
        <v>0</v>
      </c>
      <c r="R86" s="125">
        <f>SUM(R87:R88)</f>
        <v>0</v>
      </c>
      <c r="S86" s="125">
        <f t="shared" si="24"/>
        <v>0</v>
      </c>
      <c r="T86" s="125">
        <f t="shared" si="24"/>
        <v>0</v>
      </c>
      <c r="U86" s="125">
        <f t="shared" si="24"/>
        <v>0</v>
      </c>
      <c r="V86" s="125">
        <f t="shared" si="24"/>
        <v>0</v>
      </c>
      <c r="W86" s="125">
        <f>SUM(W87:W88)</f>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357</v>
      </c>
      <c r="D87" s="78">
        <f t="shared" si="21"/>
        <v>0</v>
      </c>
      <c r="E87" s="140">
        <f>SUMIFS('Plan rashoda za unos u SAP'!$J$3:$J$501,'Plan rashoda za unos u SAP'!$C$3:$C$501,"=11",'Plan rashoda za unos u SAP'!$N$3:$N$501,"=51")+SUMIFS('ANALITIKA EU PROJEKATA'!$H$3:$H$501,'ANALITIKA EU PROJEKATA'!$A$3:$A$501,"=11",'ANALITIKA EU PROJEKATA'!$Q$3:$Q$501,"=51")</f>
        <v>0</v>
      </c>
      <c r="F87" s="140">
        <f>SUMIFS('Plan rashoda za unos u SAP'!$J$3:$J$501,'Plan rashoda za unos u SAP'!$C$3:$C$501,"=12",'Plan rashoda za unos u SAP'!$N$3:$N$501,"=51")+SUMIFS('ANALITIKA EU PROJEKATA'!$H$3:$H$501,'ANALITIKA EU PROJEKATA'!$A$3:$A$501,"=12",'ANALITIKA EU PROJEKATA'!$Q$3:$Q$501,"=51")</f>
        <v>0</v>
      </c>
      <c r="G87" s="140">
        <f>SUMIFS('Plan rashoda za unos u SAP'!$J$3:$J$501,'Plan rashoda za unos u SAP'!$C$3:$C$501,"=31",'Plan rashoda za unos u SAP'!$N$3:$N$501,"=51")+SUMIFS('ANALITIKA EU PROJEKATA'!$H$3:$H$501,'ANALITIKA EU PROJEKATA'!$A$3:$A$501,"=31",'ANALITIKA EU PROJEKATA'!$Q$3:$Q$501,"=51")</f>
        <v>0</v>
      </c>
      <c r="H87" s="140">
        <f>SUMIFS('Plan rashoda za unos u SAP'!$J$3:$J$501,'Plan rashoda za unos u SAP'!$C$3:$C$501,"=41",'Plan rashoda za unos u SAP'!$N$3:$N$501,"=51")+SUMIFS('ANALITIKA EU PROJEKATA'!$H$3:$H$501,'ANALITIKA EU PROJEKATA'!$A$3:$A$501,"=41",'ANALITIKA EU PROJEKATA'!$Q$3:$Q$501,"=51")</f>
        <v>0</v>
      </c>
      <c r="I87" s="140">
        <f>SUMIFS('Plan rashoda za unos u SAP'!$J$3:$J$501,'Plan rashoda za unos u SAP'!$C$3:$C$501,"=43",'Plan rashoda za unos u SAP'!$N$3:$N$501,"=51")+SUMIFS('ANALITIKA EU PROJEKATA'!$H$3:$H$501,'ANALITIKA EU PROJEKATA'!$A$3:$A$501,"=43",'ANALITIKA EU PROJEKATA'!$Q$3:$Q$501,"=51")</f>
        <v>0</v>
      </c>
      <c r="J87" s="140">
        <f>SUMIFS('Plan rashoda za unos u SAP'!$J$3:$J$501,'Plan rashoda za unos u SAP'!$C$3:$C$501,"=51",'Plan rashoda za unos u SAP'!$N$3:$N$501,"=51")+SUMIFS('ANALITIKA EU PROJEKATA'!$H$3:$H$501,'ANALITIKA EU PROJEKATA'!$A$3:$A$501,"=51",'ANALITIKA EU PROJEKATA'!$Q$3:$Q$501,"=51")</f>
        <v>0</v>
      </c>
      <c r="K87" s="140">
        <f>SUMIFS('Plan rashoda za unos u SAP'!$J$3:$J$501,'Plan rashoda za unos u SAP'!$C$3:$C$501,"=52",'Plan rashoda za unos u SAP'!$N$3:$N$501,"=51")+SUMIFS('ANALITIKA EU PROJEKATA'!$H$3:$H$501,'ANALITIKA EU PROJEKATA'!$A$3:$A$501,"=52",'ANALITIKA EU PROJEKATA'!$Q$3:$Q$501,"=51")</f>
        <v>0</v>
      </c>
      <c r="L87" s="140">
        <f>SUMIFS('Plan rashoda za unos u SAP'!$J$3:$J$501,'Plan rashoda za unos u SAP'!$C$3:$C$501,"=552",'Plan rashoda za unos u SAP'!$N$3:$N$501,"=51")+SUMIFS('ANALITIKA EU PROJEKATA'!$H$3:$H$501,'ANALITIKA EU PROJEKATA'!$A$3:$A$501,"=552",'ANALITIKA EU PROJEKATA'!$Q$3:$Q$501,"=51")</f>
        <v>0</v>
      </c>
      <c r="M87" s="140">
        <f>SUMIFS('Plan rashoda za unos u SAP'!$J$3:$J$501,'Plan rashoda za unos u SAP'!$C$3:$C$501,"=559",'Plan rashoda za unos u SAP'!$N$3:$N$501,"=51")+SUMIFS('ANALITIKA EU PROJEKATA'!$H$3:$H$501,'ANALITIKA EU PROJEKATA'!$A$3:$A$501,"=559",'ANALITIKA EU PROJEKATA'!$Q$3:$Q$501,"=51")</f>
        <v>0</v>
      </c>
      <c r="N87" s="140">
        <f>SUMIFS('Plan rashoda za unos u SAP'!$J$3:$J$501,'Plan rashoda za unos u SAP'!$C$3:$C$501,"=561",'Plan rashoda za unos u SAP'!$N$3:$N$501,"=51")+SUMIFS('ANALITIKA EU PROJEKATA'!$H$3:$H$501,'ANALITIKA EU PROJEKATA'!$A$3:$A$501,"=561",'ANALITIKA EU PROJEKATA'!$Q$3:$Q$501,"=51")</f>
        <v>0</v>
      </c>
      <c r="O87" s="140">
        <f>SUMIFS('Plan rashoda za unos u SAP'!$J$3:$J$501,'Plan rashoda za unos u SAP'!$C$3:$C$501,"=563",'Plan rashoda za unos u SAP'!$N$3:$N$501,"=51")+SUMIFS('ANALITIKA EU PROJEKATA'!$H$3:$H$501,'ANALITIKA EU PROJEKATA'!$A$3:$A$501,"=563",'ANALITIKA EU PROJEKATA'!$Q$3:$Q$501,"=51")</f>
        <v>0</v>
      </c>
      <c r="P87" s="140">
        <f>SUMIFS('Plan rashoda za unos u SAP'!$J$3:$J$501,'Plan rashoda za unos u SAP'!$C$3:$C$501,"=573",'Plan rashoda za unos u SAP'!$N$3:$N$501,"=51")+SUMIFS('ANALITIKA EU PROJEKATA'!$H$3:$H$501,'ANALITIKA EU PROJEKATA'!$A$3:$A$501,"=573",'ANALITIKA EU PROJEKATA'!$Q$3:$Q$501,"=51")</f>
        <v>0</v>
      </c>
      <c r="Q87" s="140">
        <f>SUMIFS('Plan rashoda za unos u SAP'!$J$3:$J$501,'Plan rashoda za unos u SAP'!$C$3:$C$501,"=575",'Plan rashoda za unos u SAP'!$N$3:$N$501,"=51")+SUMIFS('ANALITIKA EU PROJEKATA'!$H$3:$H$501,'ANALITIKA EU PROJEKATA'!$A$3:$A$501,"=575",'ANALITIKA EU PROJEKATA'!$Q$3:$Q$501,"=51")</f>
        <v>0</v>
      </c>
      <c r="R87" s="140">
        <f>SUMIFS('Plan rashoda za unos u SAP'!$J$3:$J$501,'Plan rashoda za unos u SAP'!$C$3:$C$501,"=576",'Plan rashoda za unos u SAP'!$N$3:$N$501,"=51")+SUMIFS('ANALITIKA EU PROJEKATA'!$H$3:$H$501,'ANALITIKA EU PROJEKATA'!$A$3:$A$501,"=576",'ANALITIKA EU PROJEKATA'!$Q$3:$Q$501,"=51")</f>
        <v>0</v>
      </c>
      <c r="S87" s="140">
        <f>SUMIFS('Plan rashoda za unos u SAP'!$J$3:$J$501,'Plan rashoda za unos u SAP'!$C$3:$C$501,"=61",'Plan rashoda za unos u SAP'!$N$3:$N$501,"=51")+SUMIFS('ANALITIKA EU PROJEKATA'!$H$3:$H$501,'ANALITIKA EU PROJEKATA'!$A$3:$A$501,"=61",'ANALITIKA EU PROJEKATA'!$Q$3:$Q$501,"=51")</f>
        <v>0</v>
      </c>
      <c r="T87" s="140">
        <f>SUMIFS('Plan rashoda za unos u SAP'!$J$3:$J$501,'Plan rashoda za unos u SAP'!$C$3:$C$501,"=63",'Plan rashoda za unos u SAP'!$N$3:$N$501,"=51")+SUMIFS('ANALITIKA EU PROJEKATA'!$H$3:$H$501,'ANALITIKA EU PROJEKATA'!$A$3:$A$501,"=63",'ANALITIKA EU PROJEKATA'!$Q$3:$Q$501,"=51")</f>
        <v>0</v>
      </c>
      <c r="U87" s="140">
        <f>SUMIFS('Plan rashoda za unos u SAP'!$J$3:$J$501,'Plan rashoda za unos u SAP'!$C$3:$C$501,"=71",'Plan rashoda za unos u SAP'!$N$3:$N$501,"=51")+SUMIFS('ANALITIKA EU PROJEKATA'!$H$3:$H$501,'ANALITIKA EU PROJEKATA'!$A$3:$A$501,"=71",'ANALITIKA EU PROJEKATA'!$Q$3:$Q$501,"=51")</f>
        <v>0</v>
      </c>
      <c r="V87" s="140">
        <f>SUMIFS('Plan rashoda za unos u SAP'!$J$3:$J$501,'Plan rashoda za unos u SAP'!$C$3:$C$501,"=81",'Plan rashoda za unos u SAP'!$N$3:$N$501,"=51")+SUMIFS('ANALITIKA EU PROJEKATA'!$H$3:$H$501,'ANALITIKA EU PROJEKATA'!$A$3:$A$501,"=81",'ANALITIKA EU PROJEKATA'!$Q$3:$Q$501,"=51")</f>
        <v>0</v>
      </c>
      <c r="W87" s="140">
        <f>SUMIFS('Plan rashoda za unos u SAP'!$J$3:$J$501,'Plan rashoda za unos u SAP'!$C$3:$C$501,"=83",'Plan rashoda za unos u SAP'!$N$3:$N$501,"=51")+SUMIFS('ANALITIKA EU PROJEKATA'!$H$3:$H$501,'ANALITIKA EU PROJEKATA'!$A$3:$A$501,"=83",'ANALITIKA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358</v>
      </c>
      <c r="D88" s="78">
        <f t="shared" si="21"/>
        <v>0</v>
      </c>
      <c r="E88" s="140">
        <f>SUMIFS('Plan rashoda za unos u SAP'!$J$3:$J$501,'Plan rashoda za unos u SAP'!$C$3:$C$501,"=11",'Plan rashoda za unos u SAP'!$N$3:$N$501,"=54")+SUMIFS('ANALITIKA EU PROJEKATA'!$H$3:$H$501,'ANALITIKA EU PROJEKATA'!$A$3:$A$501,"=11",'ANALITIKA EU PROJEKATA'!$Q$3:$Q$501,"=54")</f>
        <v>0</v>
      </c>
      <c r="F88" s="140">
        <f>SUMIFS('Plan rashoda za unos u SAP'!$J$3:$J$501,'Plan rashoda za unos u SAP'!$C$3:$C$501,"=12",'Plan rashoda za unos u SAP'!$N$3:$N$501,"=54")+SUMIFS('ANALITIKA EU PROJEKATA'!$H$3:$H$501,'ANALITIKA EU PROJEKATA'!$A$3:$A$501,"=12",'ANALITIKA EU PROJEKATA'!$Q$3:$Q$501,"=54")</f>
        <v>0</v>
      </c>
      <c r="G88" s="140">
        <f>SUMIFS('Plan rashoda za unos u SAP'!$J$3:$J$501,'Plan rashoda za unos u SAP'!$C$3:$C$501,"=31",'Plan rashoda za unos u SAP'!$N$3:$N$501,"=54")+SUMIFS('ANALITIKA EU PROJEKATA'!$H$3:$H$501,'ANALITIKA EU PROJEKATA'!$A$3:$A$501,"=31",'ANALITIKA EU PROJEKATA'!$Q$3:$Q$501,"=54")</f>
        <v>0</v>
      </c>
      <c r="H88" s="140">
        <f>SUMIFS('Plan rashoda za unos u SAP'!$J$3:$J$501,'Plan rashoda za unos u SAP'!$C$3:$C$501,"=41",'Plan rashoda za unos u SAP'!$N$3:$N$501,"=54")+SUMIFS('ANALITIKA EU PROJEKATA'!$H$3:$H$501,'ANALITIKA EU PROJEKATA'!$A$3:$A$501,"=41",'ANALITIKA EU PROJEKATA'!$Q$3:$Q$501,"=54")</f>
        <v>0</v>
      </c>
      <c r="I88" s="140">
        <f>SUMIFS('Plan rashoda za unos u SAP'!$J$3:$J$501,'Plan rashoda za unos u SAP'!$C$3:$C$501,"=43",'Plan rashoda za unos u SAP'!$N$3:$N$501,"=54")+SUMIFS('ANALITIKA EU PROJEKATA'!$H$3:$H$501,'ANALITIKA EU PROJEKATA'!$A$3:$A$501,"=43",'ANALITIKA EU PROJEKATA'!$Q$3:$Q$501,"=54")</f>
        <v>0</v>
      </c>
      <c r="J88" s="140">
        <f>SUMIFS('Plan rashoda za unos u SAP'!$J$3:$J$501,'Plan rashoda za unos u SAP'!$C$3:$C$501,"=51",'Plan rashoda za unos u SAP'!$N$3:$N$501,"=54")+SUMIFS('ANALITIKA EU PROJEKATA'!$H$3:$H$501,'ANALITIKA EU PROJEKATA'!$A$3:$A$501,"=51",'ANALITIKA EU PROJEKATA'!$Q$3:$Q$501,"=54")</f>
        <v>0</v>
      </c>
      <c r="K88" s="140">
        <f>SUMIFS('Plan rashoda za unos u SAP'!$J$3:$J$501,'Plan rashoda za unos u SAP'!$C$3:$C$501,"=52",'Plan rashoda za unos u SAP'!$N$3:$N$501,"=54")+SUMIFS('ANALITIKA EU PROJEKATA'!$H$3:$H$501,'ANALITIKA EU PROJEKATA'!$A$3:$A$501,"=52",'ANALITIKA EU PROJEKATA'!$Q$3:$Q$501,"=54")</f>
        <v>0</v>
      </c>
      <c r="L88" s="140">
        <f>SUMIFS('Plan rashoda za unos u SAP'!$J$3:$J$501,'Plan rashoda za unos u SAP'!$C$3:$C$501,"=552",'Plan rashoda za unos u SAP'!$N$3:$N$501,"=54")+SUMIFS('ANALITIKA EU PROJEKATA'!$H$3:$H$501,'ANALITIKA EU PROJEKATA'!$A$3:$A$501,"=552",'ANALITIKA EU PROJEKATA'!$Q$3:$Q$501,"=54")</f>
        <v>0</v>
      </c>
      <c r="M88" s="140">
        <f>SUMIFS('Plan rashoda za unos u SAP'!$J$3:$J$501,'Plan rashoda za unos u SAP'!$C$3:$C$501,"=559",'Plan rashoda za unos u SAP'!$N$3:$N$501,"=54")+SUMIFS('ANALITIKA EU PROJEKATA'!$H$3:$H$501,'ANALITIKA EU PROJEKATA'!$A$3:$A$501,"=559",'ANALITIKA EU PROJEKATA'!$Q$3:$Q$501,"=54")</f>
        <v>0</v>
      </c>
      <c r="N88" s="140">
        <f>SUMIFS('Plan rashoda za unos u SAP'!$J$3:$J$501,'Plan rashoda za unos u SAP'!$C$3:$C$501,"=561",'Plan rashoda za unos u SAP'!$N$3:$N$501,"=54")+SUMIFS('ANALITIKA EU PROJEKATA'!$H$3:$H$501,'ANALITIKA EU PROJEKATA'!$A$3:$A$501,"=561",'ANALITIKA EU PROJEKATA'!$Q$3:$Q$501,"=54")</f>
        <v>0</v>
      </c>
      <c r="O88" s="140">
        <f>SUMIFS('Plan rashoda za unos u SAP'!$J$3:$J$501,'Plan rashoda za unos u SAP'!$C$3:$C$501,"=563",'Plan rashoda za unos u SAP'!$N$3:$N$501,"=54")+SUMIFS('ANALITIKA EU PROJEKATA'!$H$3:$H$501,'ANALITIKA EU PROJEKATA'!$A$3:$A$501,"=563",'ANALITIKA EU PROJEKATA'!$Q$3:$Q$501,"=54")</f>
        <v>0</v>
      </c>
      <c r="P88" s="140">
        <f>SUMIFS('Plan rashoda za unos u SAP'!$J$3:$J$501,'Plan rashoda za unos u SAP'!$C$3:$C$501,"=573",'Plan rashoda za unos u SAP'!$N$3:$N$501,"=54")+SUMIFS('ANALITIKA EU PROJEKATA'!$H$3:$H$501,'ANALITIKA EU PROJEKATA'!$A$3:$A$501,"=573",'ANALITIKA EU PROJEKATA'!$Q$3:$Q$501,"=54")</f>
        <v>0</v>
      </c>
      <c r="Q88" s="140">
        <f>SUMIFS('Plan rashoda za unos u SAP'!$J$3:$J$501,'Plan rashoda za unos u SAP'!$C$3:$C$501,"=575",'Plan rashoda za unos u SAP'!$N$3:$N$501,"=54")+SUMIFS('ANALITIKA EU PROJEKATA'!$H$3:$H$501,'ANALITIKA EU PROJEKATA'!$A$3:$A$501,"=575",'ANALITIKA EU PROJEKATA'!$Q$3:$Q$501,"=54")</f>
        <v>0</v>
      </c>
      <c r="R88" s="140">
        <f>SUMIFS('Plan rashoda za unos u SAP'!$J$3:$J$501,'Plan rashoda za unos u SAP'!$C$3:$C$501,"=576",'Plan rashoda za unos u SAP'!$N$3:$N$501,"=54")+SUMIFS('ANALITIKA EU PROJEKATA'!$H$3:$H$501,'ANALITIKA EU PROJEKATA'!$A$3:$A$501,"=576",'ANALITIKA EU PROJEKATA'!$Q$3:$Q$501,"=54")</f>
        <v>0</v>
      </c>
      <c r="S88" s="140">
        <f>SUMIFS('Plan rashoda za unos u SAP'!$J$3:$J$501,'Plan rashoda za unos u SAP'!$C$3:$C$501,"=61",'Plan rashoda za unos u SAP'!$N$3:$N$501,"=54")+SUMIFS('ANALITIKA EU PROJEKATA'!$H$3:$H$501,'ANALITIKA EU PROJEKATA'!$A$3:$A$501,"=61",'ANALITIKA EU PROJEKATA'!$Q$3:$Q$501,"=54")</f>
        <v>0</v>
      </c>
      <c r="T88" s="140">
        <f>SUMIFS('Plan rashoda za unos u SAP'!$J$3:$J$501,'Plan rashoda za unos u SAP'!$C$3:$C$501,"=63",'Plan rashoda za unos u SAP'!$N$3:$N$501,"=54")+SUMIFS('ANALITIKA EU PROJEKATA'!$H$3:$H$501,'ANALITIKA EU PROJEKATA'!$A$3:$A$501,"=63",'ANALITIKA EU PROJEKATA'!$Q$3:$Q$501,"=54")</f>
        <v>0</v>
      </c>
      <c r="U88" s="140">
        <f>SUMIFS('Plan rashoda za unos u SAP'!$J$3:$J$501,'Plan rashoda za unos u SAP'!$C$3:$C$501,"=71",'Plan rashoda za unos u SAP'!$N$3:$N$501,"=54")+SUMIFS('ANALITIKA EU PROJEKATA'!$H$3:$H$501,'ANALITIKA EU PROJEKATA'!$A$3:$A$501,"=71",'ANALITIKA EU PROJEKATA'!$Q$3:$Q$501,"=54")</f>
        <v>0</v>
      </c>
      <c r="V88" s="140">
        <f>SUMIFS('Plan rashoda za unos u SAP'!$J$3:$J$501,'Plan rashoda za unos u SAP'!$C$3:$C$501,"=81",'Plan rashoda za unos u SAP'!$N$3:$N$501,"=54")+SUMIFS('ANALITIKA EU PROJEKATA'!$H$3:$H$501,'ANALITIKA EU PROJEKATA'!$A$3:$A$501,"=81",'ANALITIKA EU PROJEKATA'!$Q$3:$Q$501,"=54")</f>
        <v>0</v>
      </c>
      <c r="W88" s="140">
        <f>SUMIFS('Plan rashoda za unos u SAP'!$J$3:$J$501,'Plan rashoda za unos u SAP'!$C$3:$C$501,"=83",'Plan rashoda za unos u SAP'!$N$3:$N$501,"=54")+SUMIFS('ANALITIKA EU PROJEKATA'!$H$3:$H$501,'ANALITIKA EU PROJEKATA'!$A$3:$A$501,"=83",'ANALITIKA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5" customHeight="1">
      <c r="A90" s="93" t="s">
        <v>2139</v>
      </c>
      <c r="B90" s="93" t="s">
        <v>202</v>
      </c>
      <c r="C90" s="93" t="s">
        <v>203</v>
      </c>
      <c r="D90" s="2" t="s">
        <v>356</v>
      </c>
      <c r="E90" s="2" t="s">
        <v>40</v>
      </c>
      <c r="F90" s="2" t="s">
        <v>325</v>
      </c>
      <c r="G90" s="93" t="s">
        <v>19</v>
      </c>
      <c r="H90" s="93" t="s">
        <v>1560</v>
      </c>
      <c r="I90" s="93" t="s">
        <v>20</v>
      </c>
      <c r="J90" s="93" t="s">
        <v>273</v>
      </c>
      <c r="K90" s="93" t="s">
        <v>274</v>
      </c>
      <c r="L90" s="93" t="s">
        <v>1561</v>
      </c>
      <c r="M90" s="93" t="s">
        <v>275</v>
      </c>
      <c r="N90" s="93" t="s">
        <v>276</v>
      </c>
      <c r="O90" s="93" t="s">
        <v>277</v>
      </c>
      <c r="P90" s="93" t="s">
        <v>1562</v>
      </c>
      <c r="Q90" s="93" t="s">
        <v>1563</v>
      </c>
      <c r="R90" s="93" t="s">
        <v>2133</v>
      </c>
      <c r="S90" s="93" t="s">
        <v>278</v>
      </c>
      <c r="T90" s="93" t="s">
        <v>279</v>
      </c>
      <c r="U90" s="93" t="s">
        <v>1534</v>
      </c>
      <c r="V90" s="93" t="s">
        <v>1533</v>
      </c>
      <c r="W90" s="93" t="s">
        <v>1535</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350</v>
      </c>
      <c r="D91" s="120">
        <f>SUM(E91:W91)</f>
        <v>176644880</v>
      </c>
      <c r="E91" s="121">
        <f t="shared" ref="E91:W91" si="25">E92+E100+E106</f>
        <v>157684699</v>
      </c>
      <c r="F91" s="121">
        <f t="shared" si="25"/>
        <v>0</v>
      </c>
      <c r="G91" s="121">
        <f t="shared" si="25"/>
        <v>9835000</v>
      </c>
      <c r="H91" s="121">
        <f>H92+H100+H106</f>
        <v>0</v>
      </c>
      <c r="I91" s="121">
        <f t="shared" si="25"/>
        <v>7700000</v>
      </c>
      <c r="J91" s="121">
        <f t="shared" si="25"/>
        <v>1325181</v>
      </c>
      <c r="K91" s="121">
        <f t="shared" si="25"/>
        <v>100000</v>
      </c>
      <c r="L91" s="121">
        <f>L92+L100+L106</f>
        <v>0</v>
      </c>
      <c r="M91" s="121">
        <f t="shared" si="25"/>
        <v>0</v>
      </c>
      <c r="N91" s="121">
        <f t="shared" si="25"/>
        <v>0</v>
      </c>
      <c r="O91" s="121">
        <f t="shared" si="25"/>
        <v>0</v>
      </c>
      <c r="P91" s="121">
        <f>P92+P100+P106</f>
        <v>0</v>
      </c>
      <c r="Q91" s="121">
        <f>Q92+Q100+Q106</f>
        <v>0</v>
      </c>
      <c r="R91" s="121">
        <f>R92+R100+R106</f>
        <v>0</v>
      </c>
      <c r="S91" s="121">
        <f t="shared" si="25"/>
        <v>0</v>
      </c>
      <c r="T91" s="121">
        <f t="shared" si="25"/>
        <v>0</v>
      </c>
      <c r="U91" s="121">
        <f t="shared" si="25"/>
        <v>0</v>
      </c>
      <c r="V91" s="121">
        <f t="shared" si="25"/>
        <v>0</v>
      </c>
      <c r="W91" s="121">
        <f t="shared" si="25"/>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204</v>
      </c>
      <c r="D92" s="124">
        <f t="shared" ref="D92:D108" si="26">SUM(E92:W92)</f>
        <v>173686143</v>
      </c>
      <c r="E92" s="130">
        <f t="shared" ref="E92:G92" si="27">SUM(E93:E99)</f>
        <v>156041254</v>
      </c>
      <c r="F92" s="130">
        <f t="shared" si="27"/>
        <v>0</v>
      </c>
      <c r="G92" s="130">
        <f t="shared" si="27"/>
        <v>9385000</v>
      </c>
      <c r="H92" s="130">
        <f>SUM(H93:H99)</f>
        <v>0</v>
      </c>
      <c r="I92" s="130">
        <f t="shared" ref="I92:K92" si="28">SUM(I93:I99)</f>
        <v>7030000</v>
      </c>
      <c r="J92" s="130">
        <f t="shared" si="28"/>
        <v>1229889</v>
      </c>
      <c r="K92" s="130">
        <f t="shared" si="28"/>
        <v>0</v>
      </c>
      <c r="L92" s="130">
        <f>SUM(L93:L99)</f>
        <v>0</v>
      </c>
      <c r="M92" s="130">
        <f t="shared" ref="M92:O92" si="29">SUM(M93:M99)</f>
        <v>0</v>
      </c>
      <c r="N92" s="130">
        <f t="shared" si="29"/>
        <v>0</v>
      </c>
      <c r="O92" s="130">
        <f t="shared" si="29"/>
        <v>0</v>
      </c>
      <c r="P92" s="130">
        <f>SUM(P93:P99)</f>
        <v>0</v>
      </c>
      <c r="Q92" s="130">
        <f>SUM(Q93:Q99)</f>
        <v>0</v>
      </c>
      <c r="R92" s="130">
        <f>SUM(R93:R99)</f>
        <v>0</v>
      </c>
      <c r="S92" s="130">
        <f t="shared" ref="S92:V92" si="30">SUM(S93:S99)</f>
        <v>0</v>
      </c>
      <c r="T92" s="130">
        <f t="shared" si="30"/>
        <v>0</v>
      </c>
      <c r="U92" s="130">
        <f t="shared" si="30"/>
        <v>0</v>
      </c>
      <c r="V92" s="130">
        <f t="shared" si="30"/>
        <v>0</v>
      </c>
      <c r="W92" s="130">
        <f>SUM(W93:W99)</f>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205</v>
      </c>
      <c r="D93" s="132">
        <f t="shared" si="26"/>
        <v>146058971</v>
      </c>
      <c r="E93" s="140">
        <f>SUMIFS('Plan rashoda za unos u SAP'!$K$3:$K$501,'Plan rashoda za unos u SAP'!$C$3:$C$501,"=11",'Plan rashoda za unos u SAP'!$N$3:$N$501,"=31")+SUMIFS('ANALITIKA EU PROJEKATA'!$I$3:$I$501,'ANALITIKA EU PROJEKATA'!$A$3:$A$501,"=11",'ANALITIKA EU PROJEKATA'!$Q$3:$Q$501,"=31")</f>
        <v>138668971</v>
      </c>
      <c r="F93" s="140">
        <f>SUMIFS('Plan rashoda za unos u SAP'!$K$3:$K$501,'Plan rashoda za unos u SAP'!$C$3:$C$501,"=12",'Plan rashoda za unos u SAP'!$N$3:$N$501,"=31")+SUMIFS('ANALITIKA EU PROJEKATA'!$I$3:$I$501,'ANALITIKA EU PROJEKATA'!$A$3:$A$501,"=12",'ANALITIKA EU PROJEKATA'!$Q$3:$Q$501,"=31")</f>
        <v>0</v>
      </c>
      <c r="G93" s="140">
        <f>SUMIFS('Plan rashoda za unos u SAP'!$K$3:$K$501,'Plan rashoda za unos u SAP'!$C$3:$C$501,"=31",'Plan rashoda za unos u SAP'!$N$3:$N$501,"=31")+SUMIFS('ANALITIKA EU PROJEKATA'!$I$3:$I$501,'ANALITIKA EU PROJEKATA'!$A$3:$A$501,"=31",'ANALITIKA EU PROJEKATA'!$Q$3:$Q$501,"=31")</f>
        <v>4620000</v>
      </c>
      <c r="H93" s="140">
        <f>SUMIFS('Plan rashoda za unos u SAP'!$K$3:$K$501,'Plan rashoda za unos u SAP'!$C$3:$C$501,"=41",'Plan rashoda za unos u SAP'!$N$3:$N$501,"=31")+SUMIFS('ANALITIKA EU PROJEKATA'!$I$3:$I$501,'ANALITIKA EU PROJEKATA'!$A$3:$A$501,"=41",'ANALITIKA EU PROJEKATA'!$Q$3:$Q$501,"=31")</f>
        <v>0</v>
      </c>
      <c r="I93" s="140">
        <f>SUMIFS('Plan rashoda za unos u SAP'!$K$3:$K$501,'Plan rashoda za unos u SAP'!$C$3:$C$501,"=43",'Plan rashoda za unos u SAP'!$N$3:$N$501,"=31")+SUMIFS('ANALITIKA EU PROJEKATA'!$I$3:$I$501,'ANALITIKA EU PROJEKATA'!$A$3:$A$501,"=43",'ANALITIKA EU PROJEKATA'!$Q$3:$Q$501,"=31")</f>
        <v>2350000</v>
      </c>
      <c r="J93" s="140">
        <f>SUMIFS('Plan rashoda za unos u SAP'!$K$3:$K$501,'Plan rashoda za unos u SAP'!$C$3:$C$501,"=51",'Plan rashoda za unos u SAP'!$N$3:$N$501,"=31")+SUMIFS('ANALITIKA EU PROJEKATA'!$I$3:$I$501,'ANALITIKA EU PROJEKATA'!$A$3:$A$501,"=51",'ANALITIKA EU PROJEKATA'!$Q$3:$Q$501,"=31")</f>
        <v>420000</v>
      </c>
      <c r="K93" s="140">
        <f>SUMIFS('Plan rashoda za unos u SAP'!$K$3:$K$501,'Plan rashoda za unos u SAP'!$C$3:$C$501,"=52",'Plan rashoda za unos u SAP'!$N$3:$N$501,"=31")+SUMIFS('ANALITIKA EU PROJEKATA'!$I$3:$I$501,'ANALITIKA EU PROJEKATA'!$A$3:$A$501,"=52",'ANALITIKA EU PROJEKATA'!$Q$3:$Q$501,"=31")</f>
        <v>0</v>
      </c>
      <c r="L93" s="140">
        <f>SUMIFS('Plan rashoda za unos u SAP'!$K$3:$K$501,'Plan rashoda za unos u SAP'!$C$3:$C$501,"=552",'Plan rashoda za unos u SAP'!$N$3:$N$501,"=31")+SUMIFS('ANALITIKA EU PROJEKATA'!$I$3:$I$501,'ANALITIKA EU PROJEKATA'!$A$3:$A$501,"=552",'ANALITIKA EU PROJEKATA'!$Q$3:$Q$501,"=31")</f>
        <v>0</v>
      </c>
      <c r="M93" s="140">
        <f>SUMIFS('Plan rashoda za unos u SAP'!$K$3:$K$501,'Plan rashoda za unos u SAP'!$C$3:$C$501,"=559",'Plan rashoda za unos u SAP'!$N$3:$N$501,"=31")+SUMIFS('ANALITIKA EU PROJEKATA'!$I$3:$I$501,'ANALITIKA EU PROJEKATA'!$A$3:$A$501,"=559",'ANALITIKA EU PROJEKATA'!$Q$3:$Q$501,"=31")</f>
        <v>0</v>
      </c>
      <c r="N93" s="140">
        <f>SUMIFS('Plan rashoda za unos u SAP'!$K$3:$K$501,'Plan rashoda za unos u SAP'!$C$3:$C$501,"=561",'Plan rashoda za unos u SAP'!$N$3:$N$501,"=31")+SUMIFS('ANALITIKA EU PROJEKATA'!$I$3:$I$501,'ANALITIKA EU PROJEKATA'!$A$3:$A$501,"=561",'ANALITIKA EU PROJEKATA'!$Q$3:$Q$501,"=31")</f>
        <v>0</v>
      </c>
      <c r="O93" s="140">
        <f>SUMIFS('Plan rashoda za unos u SAP'!$K$3:$K$501,'Plan rashoda za unos u SAP'!$C$3:$C$501,"=563",'Plan rashoda za unos u SAP'!$N$3:$N$501,"=31")+SUMIFS('ANALITIKA EU PROJEKATA'!$I$3:$I$501,'ANALITIKA EU PROJEKATA'!$A$3:$A$501,"=563",'ANALITIKA EU PROJEKATA'!$Q$3:$Q$501,"=31")</f>
        <v>0</v>
      </c>
      <c r="P93" s="140">
        <f>SUMIFS('Plan rashoda za unos u SAP'!$K$3:$K$501,'Plan rashoda za unos u SAP'!$C$3:$C$501,"=573",'Plan rashoda za unos u SAP'!$N$3:$N$501,"=31")+SUMIFS('ANALITIKA EU PROJEKATA'!$I$3:$I$501,'ANALITIKA EU PROJEKATA'!$A$3:$A$501,"=573",'ANALITIKA EU PROJEKATA'!$Q$3:$Q$501,"=31")</f>
        <v>0</v>
      </c>
      <c r="Q93" s="140">
        <f>SUMIFS('Plan rashoda za unos u SAP'!$K$3:$K$501,'Plan rashoda za unos u SAP'!$C$3:$C$501,"=575",'Plan rashoda za unos u SAP'!$N$3:$N$501,"=31")+SUMIFS('ANALITIKA EU PROJEKATA'!$I$3:$I$501,'ANALITIKA EU PROJEKATA'!$A$3:$A$501,"=575",'ANALITIKA EU PROJEKATA'!$Q$3:$Q$501,"=31")</f>
        <v>0</v>
      </c>
      <c r="R93" s="140">
        <f>SUMIFS('Plan rashoda za unos u SAP'!$K$3:$K$501,'Plan rashoda za unos u SAP'!$C$3:$C$501,"=576",'Plan rashoda za unos u SAP'!$N$3:$N$501,"=31")+SUMIFS('ANALITIKA EU PROJEKATA'!$I$3:$I$501,'ANALITIKA EU PROJEKATA'!$A$3:$A$501,"=576",'ANALITIKA EU PROJEKATA'!$Q$3:$Q$501,"=31")</f>
        <v>0</v>
      </c>
      <c r="S93" s="140">
        <f>SUMIFS('Plan rashoda za unos u SAP'!$K$3:$K$501,'Plan rashoda za unos u SAP'!$C$3:$C$501,"=61",'Plan rashoda za unos u SAP'!$N$3:$N$501,"=31")+SUMIFS('ANALITIKA EU PROJEKATA'!$I$3:$I$501,'ANALITIKA EU PROJEKATA'!$A$3:$A$501,"=61",'ANALITIKA EU PROJEKATA'!$Q$3:$Q$501,"=31")</f>
        <v>0</v>
      </c>
      <c r="T93" s="140">
        <f>SUMIFS('Plan rashoda za unos u SAP'!$K$3:$K$501,'Plan rashoda za unos u SAP'!$C$3:$C$501,"=63",'Plan rashoda za unos u SAP'!$N$3:$N$501,"=31")+SUMIFS('ANALITIKA EU PROJEKATA'!$I$3:$I$501,'ANALITIKA EU PROJEKATA'!$A$3:$A$501,"=63",'ANALITIKA EU PROJEKATA'!$Q$3:$Q$501,"=31")</f>
        <v>0</v>
      </c>
      <c r="U93" s="140">
        <f>SUMIFS('Plan rashoda za unos u SAP'!$K$3:$K$501,'Plan rashoda za unos u SAP'!$C$3:$C$501,"=71",'Plan rashoda za unos u SAP'!$N$3:$N$501,"=31")+SUMIFS('ANALITIKA EU PROJEKATA'!$I$3:$I$501,'ANALITIKA EU PROJEKATA'!$A$3:$A$501,"=71",'ANALITIKA EU PROJEKATA'!$Q$3:$Q$501,"=31")</f>
        <v>0</v>
      </c>
      <c r="V93" s="140">
        <f>SUMIFS('Plan rashoda za unos u SAP'!$K$3:$K$501,'Plan rashoda za unos u SAP'!$C$3:$C$501,"=81",'Plan rashoda za unos u SAP'!$N$3:$N$501,"=31")+SUMIFS('ANALITIKA EU PROJEKATA'!$I$3:$I$501,'ANALITIKA EU PROJEKATA'!$A$3:$A$501,"=81",'ANALITIKA EU PROJEKATA'!$Q$3:$Q$501,"=31")</f>
        <v>0</v>
      </c>
      <c r="W93" s="140">
        <f>SUMIFS('Plan rashoda za unos u SAP'!$K$3:$K$501,'Plan rashoda za unos u SAP'!$C$3:$C$501,"=83",'Plan rashoda za unos u SAP'!$N$3:$N$501,"=31")+SUMIFS('ANALITIKA EU PROJEKATA'!$I$3:$I$501,'ANALITIKA EU PROJEKATA'!$A$3:$A$501,"=83",'ANALITIKA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206</v>
      </c>
      <c r="D94" s="133">
        <f t="shared" si="26"/>
        <v>27407172</v>
      </c>
      <c r="E94" s="140">
        <f>SUMIFS('Plan rashoda za unos u SAP'!$K$3:$K$501,'Plan rashoda za unos u SAP'!$C$3:$C$501,"=11",'Plan rashoda za unos u SAP'!$N$3:$N$501,"=32")+SUMIFS('ANALITIKA EU PROJEKATA'!$I$3:$I$501,'ANALITIKA EU PROJEKATA'!$A$3:$A$501,"=11",'ANALITIKA EU PROJEKATA'!$Q$3:$Q$501,"=32")</f>
        <v>17372283</v>
      </c>
      <c r="F94" s="140">
        <f>SUMIFS('Plan rashoda za unos u SAP'!$K$3:$K$501,'Plan rashoda za unos u SAP'!$C$3:$C$501,"=12",'Plan rashoda za unos u SAP'!$N$3:$N$501,"=32")+SUMIFS('ANALITIKA EU PROJEKATA'!$I$3:$I$501,'ANALITIKA EU PROJEKATA'!$A$3:$A$501,"=12",'ANALITIKA EU PROJEKATA'!$Q$3:$Q$501,"=32")</f>
        <v>0</v>
      </c>
      <c r="G94" s="140">
        <f>SUMIFS('Plan rashoda za unos u SAP'!$K$3:$K$501,'Plan rashoda za unos u SAP'!$C$3:$C$501,"=31",'Plan rashoda za unos u SAP'!$N$3:$N$501,"=32")+SUMIFS('ANALITIKA EU PROJEKATA'!$I$3:$I$501,'ANALITIKA EU PROJEKATA'!$A$3:$A$501,"=31",'ANALITIKA EU PROJEKATA'!$Q$3:$Q$501,"=32")</f>
        <v>4605000</v>
      </c>
      <c r="H94" s="140">
        <f>SUMIFS('Plan rashoda za unos u SAP'!$K$3:$K$501,'Plan rashoda za unos u SAP'!$C$3:$C$501,"=41",'Plan rashoda za unos u SAP'!$N$3:$N$501,"=32")+SUMIFS('ANALITIKA EU PROJEKATA'!$I$3:$I$501,'ANALITIKA EU PROJEKATA'!$A$3:$A$501,"=41",'ANALITIKA EU PROJEKATA'!$Q$3:$Q$501,"=32")</f>
        <v>0</v>
      </c>
      <c r="I94" s="140">
        <f>SUMIFS('Plan rashoda za unos u SAP'!$K$3:$K$501,'Plan rashoda za unos u SAP'!$C$3:$C$501,"=43",'Plan rashoda za unos u SAP'!$N$3:$N$501,"=32")+SUMIFS('ANALITIKA EU PROJEKATA'!$I$3:$I$501,'ANALITIKA EU PROJEKATA'!$A$3:$A$501,"=43",'ANALITIKA EU PROJEKATA'!$Q$3:$Q$501,"=32")</f>
        <v>4620000</v>
      </c>
      <c r="J94" s="140">
        <f>SUMIFS('Plan rashoda za unos u SAP'!$K$3:$K$501,'Plan rashoda za unos u SAP'!$C$3:$C$501,"=51",'Plan rashoda za unos u SAP'!$N$3:$N$501,"=32")+SUMIFS('ANALITIKA EU PROJEKATA'!$I$3:$I$501,'ANALITIKA EU PROJEKATA'!$A$3:$A$501,"=51",'ANALITIKA EU PROJEKATA'!$Q$3:$Q$501,"=32")</f>
        <v>809889</v>
      </c>
      <c r="K94" s="140">
        <f>SUMIFS('Plan rashoda za unos u SAP'!$K$3:$K$501,'Plan rashoda za unos u SAP'!$C$3:$C$501,"=52",'Plan rashoda za unos u SAP'!$N$3:$N$501,"=32")+SUMIFS('ANALITIKA EU PROJEKATA'!$I$3:$I$501,'ANALITIKA EU PROJEKATA'!$A$3:$A$501,"=52",'ANALITIKA EU PROJEKATA'!$Q$3:$Q$501,"=32")</f>
        <v>0</v>
      </c>
      <c r="L94" s="140">
        <f>SUMIFS('Plan rashoda za unos u SAP'!$K$3:$K$501,'Plan rashoda za unos u SAP'!$C$3:$C$501,"=552",'Plan rashoda za unos u SAP'!$N$3:$N$501,"=32")+SUMIFS('ANALITIKA EU PROJEKATA'!$I$3:$I$501,'ANALITIKA EU PROJEKATA'!$A$3:$A$501,"=552",'ANALITIKA EU PROJEKATA'!$Q$3:$Q$501,"=32")</f>
        <v>0</v>
      </c>
      <c r="M94" s="140">
        <f>SUMIFS('Plan rashoda za unos u SAP'!$K$3:$K$501,'Plan rashoda za unos u SAP'!$C$3:$C$501,"=559",'Plan rashoda za unos u SAP'!$N$3:$N$501,"=32")+SUMIFS('ANALITIKA EU PROJEKATA'!$I$3:$I$501,'ANALITIKA EU PROJEKATA'!$A$3:$A$501,"=559",'ANALITIKA EU PROJEKATA'!$Q$3:$Q$501,"=32")</f>
        <v>0</v>
      </c>
      <c r="N94" s="140">
        <f>SUMIFS('Plan rashoda za unos u SAP'!$K$3:$K$501,'Plan rashoda za unos u SAP'!$C$3:$C$501,"=561",'Plan rashoda za unos u SAP'!$N$3:$N$501,"=32")+SUMIFS('ANALITIKA EU PROJEKATA'!$I$3:$I$501,'ANALITIKA EU PROJEKATA'!$A$3:$A$501,"=561",'ANALITIKA EU PROJEKATA'!$Q$3:$Q$501,"=32")</f>
        <v>0</v>
      </c>
      <c r="O94" s="140">
        <f>SUMIFS('Plan rashoda za unos u SAP'!$K$3:$K$501,'Plan rashoda za unos u SAP'!$C$3:$C$501,"=563",'Plan rashoda za unos u SAP'!$N$3:$N$501,"=32")+SUMIFS('ANALITIKA EU PROJEKATA'!$I$3:$I$501,'ANALITIKA EU PROJEKATA'!$A$3:$A$501,"=563",'ANALITIKA EU PROJEKATA'!$Q$3:$Q$501,"=32")</f>
        <v>0</v>
      </c>
      <c r="P94" s="140">
        <f>SUMIFS('Plan rashoda za unos u SAP'!$K$3:$K$501,'Plan rashoda za unos u SAP'!$C$3:$C$501,"=573",'Plan rashoda za unos u SAP'!$N$3:$N$501,"=32")+SUMIFS('ANALITIKA EU PROJEKATA'!$I$3:$I$501,'ANALITIKA EU PROJEKATA'!$A$3:$A$501,"=573",'ANALITIKA EU PROJEKATA'!$Q$3:$Q$501,"=32")</f>
        <v>0</v>
      </c>
      <c r="Q94" s="140">
        <f>SUMIFS('Plan rashoda za unos u SAP'!$K$3:$K$501,'Plan rashoda za unos u SAP'!$C$3:$C$501,"=575",'Plan rashoda za unos u SAP'!$N$3:$N$501,"=32")+SUMIFS('ANALITIKA EU PROJEKATA'!$I$3:$I$501,'ANALITIKA EU PROJEKATA'!$A$3:$A$501,"=575",'ANALITIKA EU PROJEKATA'!$Q$3:$Q$501,"=32")</f>
        <v>0</v>
      </c>
      <c r="R94" s="140">
        <f>SUMIFS('Plan rashoda za unos u SAP'!$K$3:$K$501,'Plan rashoda za unos u SAP'!$C$3:$C$501,"=576",'Plan rashoda za unos u SAP'!$N$3:$N$501,"=32")+SUMIFS('ANALITIKA EU PROJEKATA'!$I$3:$I$501,'ANALITIKA EU PROJEKATA'!$A$3:$A$501,"=576",'ANALITIKA EU PROJEKATA'!$Q$3:$Q$501,"=32")</f>
        <v>0</v>
      </c>
      <c r="S94" s="140">
        <f>SUMIFS('Plan rashoda za unos u SAP'!$K$3:$K$501,'Plan rashoda za unos u SAP'!$C$3:$C$501,"=61",'Plan rashoda za unos u SAP'!$N$3:$N$501,"=32")+SUMIFS('ANALITIKA EU PROJEKATA'!$I$3:$I$501,'ANALITIKA EU PROJEKATA'!$A$3:$A$501,"=61",'ANALITIKA EU PROJEKATA'!$Q$3:$Q$501,"=32")</f>
        <v>0</v>
      </c>
      <c r="T94" s="140">
        <f>SUMIFS('Plan rashoda za unos u SAP'!$K$3:$K$501,'Plan rashoda za unos u SAP'!$C$3:$C$501,"=63",'Plan rashoda za unos u SAP'!$N$3:$N$501,"=32")+SUMIFS('ANALITIKA EU PROJEKATA'!$I$3:$I$501,'ANALITIKA EU PROJEKATA'!$A$3:$A$501,"=63",'ANALITIKA EU PROJEKATA'!$Q$3:$Q$501,"=32")</f>
        <v>0</v>
      </c>
      <c r="U94" s="140">
        <f>SUMIFS('Plan rashoda za unos u SAP'!$K$3:$K$501,'Plan rashoda za unos u SAP'!$C$3:$C$501,"=71",'Plan rashoda za unos u SAP'!$N$3:$N$501,"=32")+SUMIFS('ANALITIKA EU PROJEKATA'!$I$3:$I$501,'ANALITIKA EU PROJEKATA'!$A$3:$A$501,"=71",'ANALITIKA EU PROJEKATA'!$Q$3:$Q$501,"=32")</f>
        <v>0</v>
      </c>
      <c r="V94" s="140">
        <f>SUMIFS('Plan rashoda za unos u SAP'!$K$3:$K$501,'Plan rashoda za unos u SAP'!$C$3:$C$501,"=81",'Plan rashoda za unos u SAP'!$N$3:$N$501,"=32")+SUMIFS('ANALITIKA EU PROJEKATA'!$I$3:$I$501,'ANALITIKA EU PROJEKATA'!$A$3:$A$501,"=81",'ANALITIKA EU PROJEKATA'!$Q$3:$Q$501,"=32")</f>
        <v>0</v>
      </c>
      <c r="W94" s="140">
        <f>SUMIFS('Plan rashoda za unos u SAP'!$K$3:$K$501,'Plan rashoda za unos u SAP'!$C$3:$C$501,"=83",'Plan rashoda za unos u SAP'!$N$3:$N$501,"=32")+SUMIFS('ANALITIKA EU PROJEKATA'!$I$3:$I$501,'ANALITIKA EU PROJEKATA'!$A$3:$A$501,"=83",'ANALITIKA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210</v>
      </c>
      <c r="D95" s="133">
        <f t="shared" si="26"/>
        <v>90000</v>
      </c>
      <c r="E95" s="140">
        <f>SUMIFS('Plan rashoda za unos u SAP'!$K$3:$K$501,'Plan rashoda za unos u SAP'!$C$3:$C$501,"=11",'Plan rashoda za unos u SAP'!$N$3:$N$501,"=34")+SUMIFS('ANALITIKA EU PROJEKATA'!$I$3:$I$501,'ANALITIKA EU PROJEKATA'!$A$3:$A$501,"=11",'ANALITIKA EU PROJEKATA'!$Q$3:$Q$501,"=34")</f>
        <v>0</v>
      </c>
      <c r="F95" s="140">
        <f>SUMIFS('Plan rashoda za unos u SAP'!$K$3:$K$501,'Plan rashoda za unos u SAP'!$C$3:$C$501,"=12",'Plan rashoda za unos u SAP'!$N$3:$N$501,"=34")+SUMIFS('ANALITIKA EU PROJEKATA'!$I$3:$I$501,'ANALITIKA EU PROJEKATA'!$A$3:$A$501,"=12",'ANALITIKA EU PROJEKATA'!$Q$3:$Q$501,"=34")</f>
        <v>0</v>
      </c>
      <c r="G95" s="140">
        <f>SUMIFS('Plan rashoda za unos u SAP'!$K$3:$K$501,'Plan rashoda za unos u SAP'!$C$3:$C$501,"=31",'Plan rashoda za unos u SAP'!$N$3:$N$501,"=34")+SUMIFS('ANALITIKA EU PROJEKATA'!$I$3:$I$501,'ANALITIKA EU PROJEKATA'!$A$3:$A$501,"=31",'ANALITIKA EU PROJEKATA'!$Q$3:$Q$501,"=34")</f>
        <v>30000</v>
      </c>
      <c r="H95" s="140">
        <f>SUMIFS('Plan rashoda za unos u SAP'!$K$3:$K$501,'Plan rashoda za unos u SAP'!$C$3:$C$501,"=41",'Plan rashoda za unos u SAP'!$N$3:$N$501,"=34")+SUMIFS('ANALITIKA EU PROJEKATA'!$I$3:$I$501,'ANALITIKA EU PROJEKATA'!$A$3:$A$501,"=41",'ANALITIKA EU PROJEKATA'!$Q$3:$Q$501,"=34")</f>
        <v>0</v>
      </c>
      <c r="I95" s="140">
        <f>SUMIFS('Plan rashoda za unos u SAP'!$K$3:$K$501,'Plan rashoda za unos u SAP'!$C$3:$C$501,"=43",'Plan rashoda za unos u SAP'!$N$3:$N$501,"=34")+SUMIFS('ANALITIKA EU PROJEKATA'!$I$3:$I$501,'ANALITIKA EU PROJEKATA'!$A$3:$A$501,"=43",'ANALITIKA EU PROJEKATA'!$Q$3:$Q$501,"=34")</f>
        <v>60000</v>
      </c>
      <c r="J95" s="140">
        <f>SUMIFS('Plan rashoda za unos u SAP'!$K$3:$K$501,'Plan rashoda za unos u SAP'!$C$3:$C$501,"=51",'Plan rashoda za unos u SAP'!$N$3:$N$501,"=34")+SUMIFS('ANALITIKA EU PROJEKATA'!$I$3:$I$501,'ANALITIKA EU PROJEKATA'!$A$3:$A$501,"=51",'ANALITIKA EU PROJEKATA'!$Q$3:$Q$501,"=34")</f>
        <v>0</v>
      </c>
      <c r="K95" s="140">
        <f>SUMIFS('Plan rashoda za unos u SAP'!$K$3:$K$501,'Plan rashoda za unos u SAP'!$C$3:$C$501,"=52",'Plan rashoda za unos u SAP'!$N$3:$N$501,"=34")+SUMIFS('ANALITIKA EU PROJEKATA'!$I$3:$I$501,'ANALITIKA EU PROJEKATA'!$A$3:$A$501,"=52",'ANALITIKA EU PROJEKATA'!$Q$3:$Q$501,"=34")</f>
        <v>0</v>
      </c>
      <c r="L95" s="140">
        <f>SUMIFS('Plan rashoda za unos u SAP'!$K$3:$K$501,'Plan rashoda za unos u SAP'!$C$3:$C$501,"=552",'Plan rashoda za unos u SAP'!$N$3:$N$501,"=34")+SUMIFS('ANALITIKA EU PROJEKATA'!$I$3:$I$501,'ANALITIKA EU PROJEKATA'!$A$3:$A$501,"=552",'ANALITIKA EU PROJEKATA'!$Q$3:$Q$501,"=34")</f>
        <v>0</v>
      </c>
      <c r="M95" s="140">
        <f>SUMIFS('Plan rashoda za unos u SAP'!$K$3:$K$501,'Plan rashoda za unos u SAP'!$C$3:$C$501,"=559",'Plan rashoda za unos u SAP'!$N$3:$N$501,"=34")+SUMIFS('ANALITIKA EU PROJEKATA'!$I$3:$I$501,'ANALITIKA EU PROJEKATA'!$A$3:$A$501,"=559",'ANALITIKA EU PROJEKATA'!$Q$3:$Q$501,"=34")</f>
        <v>0</v>
      </c>
      <c r="N95" s="140">
        <f>SUMIFS('Plan rashoda za unos u SAP'!$K$3:$K$501,'Plan rashoda za unos u SAP'!$C$3:$C$501,"=561",'Plan rashoda za unos u SAP'!$N$3:$N$501,"=34")+SUMIFS('ANALITIKA EU PROJEKATA'!$I$3:$I$501,'ANALITIKA EU PROJEKATA'!$A$3:$A$501,"=561",'ANALITIKA EU PROJEKATA'!$Q$3:$Q$501,"=34")</f>
        <v>0</v>
      </c>
      <c r="O95" s="140">
        <f>SUMIFS('Plan rashoda za unos u SAP'!$K$3:$K$501,'Plan rashoda za unos u SAP'!$C$3:$C$501,"=563",'Plan rashoda za unos u SAP'!$N$3:$N$501,"=34")+SUMIFS('ANALITIKA EU PROJEKATA'!$I$3:$I$501,'ANALITIKA EU PROJEKATA'!$A$3:$A$501,"=563",'ANALITIKA EU PROJEKATA'!$Q$3:$Q$501,"=34")</f>
        <v>0</v>
      </c>
      <c r="P95" s="140">
        <f>SUMIFS('Plan rashoda za unos u SAP'!$K$3:$K$501,'Plan rashoda za unos u SAP'!$C$3:$C$501,"=573",'Plan rashoda za unos u SAP'!$N$3:$N$501,"=34")+SUMIFS('ANALITIKA EU PROJEKATA'!$I$3:$I$501,'ANALITIKA EU PROJEKATA'!$A$3:$A$501,"=573",'ANALITIKA EU PROJEKATA'!$Q$3:$Q$501,"=34")</f>
        <v>0</v>
      </c>
      <c r="Q95" s="140">
        <f>SUMIFS('Plan rashoda za unos u SAP'!$K$3:$K$501,'Plan rashoda za unos u SAP'!$C$3:$C$501,"=575",'Plan rashoda za unos u SAP'!$N$3:$N$501,"=34")+SUMIFS('ANALITIKA EU PROJEKATA'!$I$3:$I$501,'ANALITIKA EU PROJEKATA'!$A$3:$A$501,"=575",'ANALITIKA EU PROJEKATA'!$Q$3:$Q$501,"=34")</f>
        <v>0</v>
      </c>
      <c r="R95" s="140">
        <f>SUMIFS('Plan rashoda za unos u SAP'!$K$3:$K$501,'Plan rashoda za unos u SAP'!$C$3:$C$501,"=576",'Plan rashoda za unos u SAP'!$N$3:$N$501,"=34")+SUMIFS('ANALITIKA EU PROJEKATA'!$I$3:$I$501,'ANALITIKA EU PROJEKATA'!$A$3:$A$501,"=576",'ANALITIKA EU PROJEKATA'!$Q$3:$Q$501,"=34")</f>
        <v>0</v>
      </c>
      <c r="S95" s="140">
        <f>SUMIFS('Plan rashoda za unos u SAP'!$K$3:$K$501,'Plan rashoda za unos u SAP'!$C$3:$C$501,"=61",'Plan rashoda za unos u SAP'!$N$3:$N$501,"=34")+SUMIFS('ANALITIKA EU PROJEKATA'!$I$3:$I$501,'ANALITIKA EU PROJEKATA'!$A$3:$A$501,"=61",'ANALITIKA EU PROJEKATA'!$Q$3:$Q$501,"=34")</f>
        <v>0</v>
      </c>
      <c r="T95" s="140">
        <f>SUMIFS('Plan rashoda za unos u SAP'!$K$3:$K$501,'Plan rashoda za unos u SAP'!$C$3:$C$501,"=63",'Plan rashoda za unos u SAP'!$N$3:$N$501,"=34")+SUMIFS('ANALITIKA EU PROJEKATA'!$I$3:$I$501,'ANALITIKA EU PROJEKATA'!$A$3:$A$501,"=63",'ANALITIKA EU PROJEKATA'!$Q$3:$Q$501,"=34")</f>
        <v>0</v>
      </c>
      <c r="U95" s="140">
        <f>SUMIFS('Plan rashoda za unos u SAP'!$K$3:$K$501,'Plan rashoda za unos u SAP'!$C$3:$C$501,"=71",'Plan rashoda za unos u SAP'!$N$3:$N$501,"=34")+SUMIFS('ANALITIKA EU PROJEKATA'!$I$3:$I$501,'ANALITIKA EU PROJEKATA'!$A$3:$A$501,"=71",'ANALITIKA EU PROJEKATA'!$Q$3:$Q$501,"=34")</f>
        <v>0</v>
      </c>
      <c r="V95" s="140">
        <f>SUMIFS('Plan rashoda za unos u SAP'!$K$3:$K$501,'Plan rashoda za unos u SAP'!$C$3:$C$501,"=81",'Plan rashoda za unos u SAP'!$N$3:$N$501,"=34")+SUMIFS('ANALITIKA EU PROJEKATA'!$I$3:$I$501,'ANALITIKA EU PROJEKATA'!$A$3:$A$501,"=81",'ANALITIKA EU PROJEKATA'!$Q$3:$Q$501,"=34")</f>
        <v>0</v>
      </c>
      <c r="W95" s="140">
        <f>SUMIFS('Plan rashoda za unos u SAP'!$K$3:$K$501,'Plan rashoda za unos u SAP'!$C$3:$C$501,"=83",'Plan rashoda za unos u SAP'!$N$3:$N$501,"=34")+SUMIFS('ANALITIKA EU PROJEKATA'!$I$3:$I$501,'ANALITIKA EU PROJEKATA'!$A$3:$A$501,"=83",'ANALITIKA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328</v>
      </c>
      <c r="D96" s="133">
        <f t="shared" si="26"/>
        <v>0</v>
      </c>
      <c r="E96" s="140">
        <f>SUMIFS('Plan rashoda za unos u SAP'!$K$3:$K$501,'Plan rashoda za unos u SAP'!$C$3:$C$501,"=11",'Plan rashoda za unos u SAP'!$N$3:$N$501,"=35")+SUMIFS('ANALITIKA EU PROJEKATA'!$I$3:$I$501,'ANALITIKA EU PROJEKATA'!$A$3:$A$501,"=11",'ANALITIKA EU PROJEKATA'!$Q$3:$Q$501,"=35")</f>
        <v>0</v>
      </c>
      <c r="F96" s="140">
        <f>SUMIFS('Plan rashoda za unos u SAP'!$K$3:$K$501,'Plan rashoda za unos u SAP'!$C$3:$C$501,"=12",'Plan rashoda za unos u SAP'!$N$3:$N$501,"=35")+SUMIFS('ANALITIKA EU PROJEKATA'!$I$3:$I$501,'ANALITIKA EU PROJEKATA'!$A$3:$A$501,"=12",'ANALITIKA EU PROJEKATA'!$Q$3:$Q$501,"=35")</f>
        <v>0</v>
      </c>
      <c r="G96" s="140">
        <f>SUMIFS('Plan rashoda za unos u SAP'!$K$3:$K$501,'Plan rashoda za unos u SAP'!$C$3:$C$501,"=31",'Plan rashoda za unos u SAP'!$N$3:$N$501,"=35")+SUMIFS('ANALITIKA EU PROJEKATA'!$I$3:$I$501,'ANALITIKA EU PROJEKATA'!$A$3:$A$501,"=31",'ANALITIKA EU PROJEKATA'!$Q$3:$Q$501,"=35")</f>
        <v>0</v>
      </c>
      <c r="H96" s="140">
        <f>SUMIFS('Plan rashoda za unos u SAP'!$K$3:$K$501,'Plan rashoda za unos u SAP'!$C$3:$C$501,"=41",'Plan rashoda za unos u SAP'!$N$3:$N$501,"=35")+SUMIFS('ANALITIKA EU PROJEKATA'!$I$3:$I$501,'ANALITIKA EU PROJEKATA'!$A$3:$A$501,"=41",'ANALITIKA EU PROJEKATA'!$Q$3:$Q$501,"=35")</f>
        <v>0</v>
      </c>
      <c r="I96" s="140">
        <f>SUMIFS('Plan rashoda za unos u SAP'!$K$3:$K$501,'Plan rashoda za unos u SAP'!$C$3:$C$501,"=43",'Plan rashoda za unos u SAP'!$N$3:$N$501,"=35")+SUMIFS('ANALITIKA EU PROJEKATA'!$I$3:$I$501,'ANALITIKA EU PROJEKATA'!$A$3:$A$501,"=43",'ANALITIKA EU PROJEKATA'!$Q$3:$Q$501,"=35")</f>
        <v>0</v>
      </c>
      <c r="J96" s="140">
        <f>SUMIFS('Plan rashoda za unos u SAP'!$K$3:$K$501,'Plan rashoda za unos u SAP'!$C$3:$C$501,"=51",'Plan rashoda za unos u SAP'!$N$3:$N$501,"=35")+SUMIFS('ANALITIKA EU PROJEKATA'!$I$3:$I$501,'ANALITIKA EU PROJEKATA'!$A$3:$A$501,"=51",'ANALITIKA EU PROJEKATA'!$Q$3:$Q$501,"=35")</f>
        <v>0</v>
      </c>
      <c r="K96" s="140">
        <f>SUMIFS('Plan rashoda za unos u SAP'!$K$3:$K$501,'Plan rashoda za unos u SAP'!$C$3:$C$501,"=52",'Plan rashoda za unos u SAP'!$N$3:$N$501,"=35")+SUMIFS('ANALITIKA EU PROJEKATA'!$I$3:$I$501,'ANALITIKA EU PROJEKATA'!$A$3:$A$501,"=52",'ANALITIKA EU PROJEKATA'!$Q$3:$Q$501,"=35")</f>
        <v>0</v>
      </c>
      <c r="L96" s="140">
        <f>SUMIFS('Plan rashoda za unos u SAP'!$K$3:$K$501,'Plan rashoda za unos u SAP'!$C$3:$C$501,"=552",'Plan rashoda za unos u SAP'!$N$3:$N$501,"=35")+SUMIFS('ANALITIKA EU PROJEKATA'!$I$3:$I$501,'ANALITIKA EU PROJEKATA'!$A$3:$A$501,"=552",'ANALITIKA EU PROJEKATA'!$Q$3:$Q$501,"=35")</f>
        <v>0</v>
      </c>
      <c r="M96" s="140">
        <f>SUMIFS('Plan rashoda za unos u SAP'!$K$3:$K$501,'Plan rashoda za unos u SAP'!$C$3:$C$501,"=559",'Plan rashoda za unos u SAP'!$N$3:$N$501,"=35")+SUMIFS('ANALITIKA EU PROJEKATA'!$I$3:$I$501,'ANALITIKA EU PROJEKATA'!$A$3:$A$501,"=559",'ANALITIKA EU PROJEKATA'!$Q$3:$Q$501,"=35")</f>
        <v>0</v>
      </c>
      <c r="N96" s="140">
        <f>SUMIFS('Plan rashoda za unos u SAP'!$K$3:$K$501,'Plan rashoda za unos u SAP'!$C$3:$C$501,"=561",'Plan rashoda za unos u SAP'!$N$3:$N$501,"=35")+SUMIFS('ANALITIKA EU PROJEKATA'!$I$3:$I$501,'ANALITIKA EU PROJEKATA'!$A$3:$A$501,"=561",'ANALITIKA EU PROJEKATA'!$Q$3:$Q$501,"=35")</f>
        <v>0</v>
      </c>
      <c r="O96" s="140">
        <f>SUMIFS('Plan rashoda za unos u SAP'!$K$3:$K$501,'Plan rashoda za unos u SAP'!$C$3:$C$501,"=563",'Plan rashoda za unos u SAP'!$N$3:$N$501,"=35")+SUMIFS('ANALITIKA EU PROJEKATA'!$I$3:$I$501,'ANALITIKA EU PROJEKATA'!$A$3:$A$501,"=563",'ANALITIKA EU PROJEKATA'!$Q$3:$Q$501,"=35")</f>
        <v>0</v>
      </c>
      <c r="P96" s="140">
        <f>SUMIFS('Plan rashoda za unos u SAP'!$K$3:$K$501,'Plan rashoda za unos u SAP'!$C$3:$C$501,"=573",'Plan rashoda za unos u SAP'!$N$3:$N$501,"=35")+SUMIFS('ANALITIKA EU PROJEKATA'!$I$3:$I$501,'ANALITIKA EU PROJEKATA'!$A$3:$A$501,"=573",'ANALITIKA EU PROJEKATA'!$Q$3:$Q$501,"=35")</f>
        <v>0</v>
      </c>
      <c r="Q96" s="140">
        <f>SUMIFS('Plan rashoda za unos u SAP'!$K$3:$K$501,'Plan rashoda za unos u SAP'!$C$3:$C$501,"=575",'Plan rashoda za unos u SAP'!$N$3:$N$501,"=35")+SUMIFS('ANALITIKA EU PROJEKATA'!$I$3:$I$501,'ANALITIKA EU PROJEKATA'!$A$3:$A$501,"=575",'ANALITIKA EU PROJEKATA'!$Q$3:$Q$501,"=35")</f>
        <v>0</v>
      </c>
      <c r="R96" s="140">
        <f>SUMIFS('Plan rashoda za unos u SAP'!$K$3:$K$501,'Plan rashoda za unos u SAP'!$C$3:$C$501,"=576",'Plan rashoda za unos u SAP'!$N$3:$N$501,"=35")+SUMIFS('ANALITIKA EU PROJEKATA'!$I$3:$I$501,'ANALITIKA EU PROJEKATA'!$A$3:$A$501,"=576",'ANALITIKA EU PROJEKATA'!$Q$3:$Q$501,"=35")</f>
        <v>0</v>
      </c>
      <c r="S96" s="140">
        <f>SUMIFS('Plan rashoda za unos u SAP'!$K$3:$K$501,'Plan rashoda za unos u SAP'!$C$3:$C$501,"=61",'Plan rashoda za unos u SAP'!$N$3:$N$501,"=35")+SUMIFS('ANALITIKA EU PROJEKATA'!$I$3:$I$501,'ANALITIKA EU PROJEKATA'!$A$3:$A$501,"=61",'ANALITIKA EU PROJEKATA'!$Q$3:$Q$501,"=35")</f>
        <v>0</v>
      </c>
      <c r="T96" s="140">
        <f>SUMIFS('Plan rashoda za unos u SAP'!$K$3:$K$501,'Plan rashoda za unos u SAP'!$C$3:$C$501,"=63",'Plan rashoda za unos u SAP'!$N$3:$N$501,"=35")+SUMIFS('ANALITIKA EU PROJEKATA'!$I$3:$I$501,'ANALITIKA EU PROJEKATA'!$A$3:$A$501,"=63",'ANALITIKA EU PROJEKATA'!$Q$3:$Q$501,"=35")</f>
        <v>0</v>
      </c>
      <c r="U96" s="140">
        <f>SUMIFS('Plan rashoda za unos u SAP'!$K$3:$K$501,'Plan rashoda za unos u SAP'!$C$3:$C$501,"=71",'Plan rashoda za unos u SAP'!$N$3:$N$501,"=35")+SUMIFS('ANALITIKA EU PROJEKATA'!$I$3:$I$501,'ANALITIKA EU PROJEKATA'!$A$3:$A$501,"=71",'ANALITIKA EU PROJEKATA'!$Q$3:$Q$501,"=35")</f>
        <v>0</v>
      </c>
      <c r="V96" s="140">
        <f>SUMIFS('Plan rashoda za unos u SAP'!$K$3:$K$501,'Plan rashoda za unos u SAP'!$C$3:$C$501,"=81",'Plan rashoda za unos u SAP'!$N$3:$N$501,"=35")+SUMIFS('ANALITIKA EU PROJEKATA'!$I$3:$I$501,'ANALITIKA EU PROJEKATA'!$A$3:$A$501,"=81",'ANALITIKA EU PROJEKATA'!$Q$3:$Q$501,"=35")</f>
        <v>0</v>
      </c>
      <c r="W96" s="140">
        <f>SUMIFS('Plan rashoda za unos u SAP'!$K$3:$K$501,'Plan rashoda za unos u SAP'!$C$3:$C$501,"=83",'Plan rashoda za unos u SAP'!$N$3:$N$501,"=35")+SUMIFS('ANALITIKA EU PROJEKATA'!$I$3:$I$501,'ANALITIKA EU PROJEKATA'!$A$3:$A$501,"=83",'ANALITIKA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212</v>
      </c>
      <c r="D97" s="133">
        <f t="shared" si="26"/>
        <v>0</v>
      </c>
      <c r="E97" s="140">
        <f>SUMIFS('Plan rashoda za unos u SAP'!$K$3:$K$501,'Plan rashoda za unos u SAP'!$C$3:$C$501,"=11",'Plan rashoda za unos u SAP'!$N$3:$N$501,"=36")+SUMIFS('ANALITIKA EU PROJEKATA'!$I$3:$I$501,'ANALITIKA EU PROJEKATA'!$A$3:$A$501,"=11",'ANALITIKA EU PROJEKATA'!$Q$3:$Q$501,"=36")</f>
        <v>0</v>
      </c>
      <c r="F97" s="140">
        <f>SUMIFS('Plan rashoda za unos u SAP'!$K$3:$K$501,'Plan rashoda za unos u SAP'!$C$3:$C$501,"=12",'Plan rashoda za unos u SAP'!$N$3:$N$501,"=36")+SUMIFS('ANALITIKA EU PROJEKATA'!$I$3:$I$501,'ANALITIKA EU PROJEKATA'!$A$3:$A$501,"=12",'ANALITIKA EU PROJEKATA'!$Q$3:$Q$501,"=36")</f>
        <v>0</v>
      </c>
      <c r="G97" s="140">
        <f>SUMIFS('Plan rashoda za unos u SAP'!$K$3:$K$501,'Plan rashoda za unos u SAP'!$C$3:$C$501,"=31",'Plan rashoda za unos u SAP'!$N$3:$N$501,"=36")+SUMIFS('ANALITIKA EU PROJEKATA'!$I$3:$I$501,'ANALITIKA EU PROJEKATA'!$A$3:$A$501,"=31",'ANALITIKA EU PROJEKATA'!$Q$3:$Q$501,"=36")</f>
        <v>0</v>
      </c>
      <c r="H97" s="140">
        <f>SUMIFS('Plan rashoda za unos u SAP'!$K$3:$K$501,'Plan rashoda za unos u SAP'!$C$3:$C$501,"=41",'Plan rashoda za unos u SAP'!$N$3:$N$501,"=36")+SUMIFS('ANALITIKA EU PROJEKATA'!$I$3:$I$501,'ANALITIKA EU PROJEKATA'!$A$3:$A$501,"=41",'ANALITIKA EU PROJEKATA'!$Q$3:$Q$501,"=36")</f>
        <v>0</v>
      </c>
      <c r="I97" s="140">
        <f>SUMIFS('Plan rashoda za unos u SAP'!$K$3:$K$501,'Plan rashoda za unos u SAP'!$C$3:$C$501,"=43",'Plan rashoda za unos u SAP'!$N$3:$N$501,"=36")+SUMIFS('ANALITIKA EU PROJEKATA'!$I$3:$I$501,'ANALITIKA EU PROJEKATA'!$A$3:$A$501,"=43",'ANALITIKA EU PROJEKATA'!$Q$3:$Q$501,"=36")</f>
        <v>0</v>
      </c>
      <c r="J97" s="140">
        <f>SUMIFS('Plan rashoda za unos u SAP'!$K$3:$K$501,'Plan rashoda za unos u SAP'!$C$3:$C$501,"=51",'Plan rashoda za unos u SAP'!$N$3:$N$501,"=36")+SUMIFS('ANALITIKA EU PROJEKATA'!$I$3:$I$501,'ANALITIKA EU PROJEKATA'!$A$3:$A$501,"=51",'ANALITIKA EU PROJEKATA'!$Q$3:$Q$501,"=36")</f>
        <v>0</v>
      </c>
      <c r="K97" s="140">
        <f>SUMIFS('Plan rashoda za unos u SAP'!$K$3:$K$501,'Plan rashoda za unos u SAP'!$C$3:$C$501,"=52",'Plan rashoda za unos u SAP'!$N$3:$N$501,"=36")+SUMIFS('ANALITIKA EU PROJEKATA'!$I$3:$I$501,'ANALITIKA EU PROJEKATA'!$A$3:$A$501,"=52",'ANALITIKA EU PROJEKATA'!$Q$3:$Q$501,"=36")</f>
        <v>0</v>
      </c>
      <c r="L97" s="140">
        <f>SUMIFS('Plan rashoda za unos u SAP'!$K$3:$K$501,'Plan rashoda za unos u SAP'!$C$3:$C$501,"=552",'Plan rashoda za unos u SAP'!$N$3:$N$501,"=36")+SUMIFS('ANALITIKA EU PROJEKATA'!$I$3:$I$501,'ANALITIKA EU PROJEKATA'!$A$3:$A$501,"=552",'ANALITIKA EU PROJEKATA'!$Q$3:$Q$501,"=36")</f>
        <v>0</v>
      </c>
      <c r="M97" s="140">
        <f>SUMIFS('Plan rashoda za unos u SAP'!$K$3:$K$501,'Plan rashoda za unos u SAP'!$C$3:$C$501,"=559",'Plan rashoda za unos u SAP'!$N$3:$N$501,"=36")+SUMIFS('ANALITIKA EU PROJEKATA'!$I$3:$I$501,'ANALITIKA EU PROJEKATA'!$A$3:$A$501,"=559",'ANALITIKA EU PROJEKATA'!$Q$3:$Q$501,"=36")</f>
        <v>0</v>
      </c>
      <c r="N97" s="140">
        <f>SUMIFS('Plan rashoda za unos u SAP'!$K$3:$K$501,'Plan rashoda za unos u SAP'!$C$3:$C$501,"=561",'Plan rashoda za unos u SAP'!$N$3:$N$501,"=36")+SUMIFS('ANALITIKA EU PROJEKATA'!$I$3:$I$501,'ANALITIKA EU PROJEKATA'!$A$3:$A$501,"=561",'ANALITIKA EU PROJEKATA'!$Q$3:$Q$501,"=36")</f>
        <v>0</v>
      </c>
      <c r="O97" s="140">
        <f>SUMIFS('Plan rashoda za unos u SAP'!$K$3:$K$501,'Plan rashoda za unos u SAP'!$C$3:$C$501,"=563",'Plan rashoda za unos u SAP'!$N$3:$N$501,"=36")+SUMIFS('ANALITIKA EU PROJEKATA'!$I$3:$I$501,'ANALITIKA EU PROJEKATA'!$A$3:$A$501,"=563",'ANALITIKA EU PROJEKATA'!$Q$3:$Q$501,"=36")</f>
        <v>0</v>
      </c>
      <c r="P97" s="140">
        <f>SUMIFS('Plan rashoda za unos u SAP'!$K$3:$K$501,'Plan rashoda za unos u SAP'!$C$3:$C$501,"=573",'Plan rashoda za unos u SAP'!$N$3:$N$501,"=36")+SUMIFS('ANALITIKA EU PROJEKATA'!$I$3:$I$501,'ANALITIKA EU PROJEKATA'!$A$3:$A$501,"=573",'ANALITIKA EU PROJEKATA'!$Q$3:$Q$501,"=36")</f>
        <v>0</v>
      </c>
      <c r="Q97" s="140">
        <f>SUMIFS('Plan rashoda za unos u SAP'!$K$3:$K$501,'Plan rashoda za unos u SAP'!$C$3:$C$501,"=575",'Plan rashoda za unos u SAP'!$N$3:$N$501,"=36")+SUMIFS('ANALITIKA EU PROJEKATA'!$I$3:$I$501,'ANALITIKA EU PROJEKATA'!$A$3:$A$501,"=575",'ANALITIKA EU PROJEKATA'!$Q$3:$Q$501,"=36")</f>
        <v>0</v>
      </c>
      <c r="R97" s="140">
        <f>SUMIFS('Plan rashoda za unos u SAP'!$K$3:$K$501,'Plan rashoda za unos u SAP'!$C$3:$C$501,"=576",'Plan rashoda za unos u SAP'!$N$3:$N$501,"=36")+SUMIFS('ANALITIKA EU PROJEKATA'!$I$3:$I$501,'ANALITIKA EU PROJEKATA'!$A$3:$A$501,"=576",'ANALITIKA EU PROJEKATA'!$Q$3:$Q$501,"=36")</f>
        <v>0</v>
      </c>
      <c r="S97" s="140">
        <f>SUMIFS('Plan rashoda za unos u SAP'!$K$3:$K$501,'Plan rashoda za unos u SAP'!$C$3:$C$501,"=61",'Plan rashoda za unos u SAP'!$N$3:$N$501,"=36")+SUMIFS('ANALITIKA EU PROJEKATA'!$I$3:$I$501,'ANALITIKA EU PROJEKATA'!$A$3:$A$501,"=61",'ANALITIKA EU PROJEKATA'!$Q$3:$Q$501,"=36")</f>
        <v>0</v>
      </c>
      <c r="T97" s="140">
        <f>SUMIFS('Plan rashoda za unos u SAP'!$K$3:$K$501,'Plan rashoda za unos u SAP'!$C$3:$C$501,"=63",'Plan rashoda za unos u SAP'!$N$3:$N$501,"=36")+SUMIFS('ANALITIKA EU PROJEKATA'!$I$3:$I$501,'ANALITIKA EU PROJEKATA'!$A$3:$A$501,"=63",'ANALITIKA EU PROJEKATA'!$Q$3:$Q$501,"=36")</f>
        <v>0</v>
      </c>
      <c r="U97" s="140">
        <f>SUMIFS('Plan rashoda za unos u SAP'!$K$3:$K$501,'Plan rashoda za unos u SAP'!$C$3:$C$501,"=71",'Plan rashoda za unos u SAP'!$N$3:$N$501,"=36")+SUMIFS('ANALITIKA EU PROJEKATA'!$I$3:$I$501,'ANALITIKA EU PROJEKATA'!$A$3:$A$501,"=71",'ANALITIKA EU PROJEKATA'!$Q$3:$Q$501,"=36")</f>
        <v>0</v>
      </c>
      <c r="V97" s="140">
        <f>SUMIFS('Plan rashoda za unos u SAP'!$K$3:$K$501,'Plan rashoda za unos u SAP'!$C$3:$C$501,"=81",'Plan rashoda za unos u SAP'!$N$3:$N$501,"=36")+SUMIFS('ANALITIKA EU PROJEKATA'!$I$3:$I$501,'ANALITIKA EU PROJEKATA'!$A$3:$A$501,"=81",'ANALITIKA EU PROJEKATA'!$Q$3:$Q$501,"=36")</f>
        <v>0</v>
      </c>
      <c r="W97" s="140">
        <f>SUMIFS('Plan rashoda za unos u SAP'!$K$3:$K$501,'Plan rashoda za unos u SAP'!$C$3:$C$501,"=83",'Plan rashoda za unos u SAP'!$N$3:$N$501,"=36")+SUMIFS('ANALITIKA EU PROJEKATA'!$I$3:$I$501,'ANALITIKA EU PROJEKATA'!$A$3:$A$501,"=83",'ANALITIKA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335</v>
      </c>
      <c r="D98" s="133">
        <f t="shared" si="26"/>
        <v>130000</v>
      </c>
      <c r="E98" s="140">
        <f>SUMIFS('Plan rashoda za unos u SAP'!$K$3:$K$501,'Plan rashoda za unos u SAP'!$C$3:$C$501,"=11",'Plan rashoda za unos u SAP'!$N$3:$N$501,"=37")+SUMIFS('ANALITIKA EU PROJEKATA'!$I$3:$I$501,'ANALITIKA EU PROJEKATA'!$A$3:$A$501,"=11",'ANALITIKA EU PROJEKATA'!$Q$3:$Q$501,"=37")</f>
        <v>0</v>
      </c>
      <c r="F98" s="140">
        <f>SUMIFS('Plan rashoda za unos u SAP'!$K$3:$K$501,'Plan rashoda za unos u SAP'!$C$3:$C$501,"=12",'Plan rashoda za unos u SAP'!$N$3:$N$501,"=37")+SUMIFS('ANALITIKA EU PROJEKATA'!$I$3:$I$501,'ANALITIKA EU PROJEKATA'!$A$3:$A$501,"=12",'ANALITIKA EU PROJEKATA'!$Q$3:$Q$501,"=37")</f>
        <v>0</v>
      </c>
      <c r="G98" s="140">
        <f>SUMIFS('Plan rashoda za unos u SAP'!$K$3:$K$501,'Plan rashoda za unos u SAP'!$C$3:$C$501,"=31",'Plan rashoda za unos u SAP'!$N$3:$N$501,"=37")+SUMIFS('ANALITIKA EU PROJEKATA'!$I$3:$I$501,'ANALITIKA EU PROJEKATA'!$A$3:$A$501,"=31",'ANALITIKA EU PROJEKATA'!$Q$3:$Q$501,"=37")</f>
        <v>130000</v>
      </c>
      <c r="H98" s="140">
        <f>SUMIFS('Plan rashoda za unos u SAP'!$K$3:$K$501,'Plan rashoda za unos u SAP'!$C$3:$C$501,"=41",'Plan rashoda za unos u SAP'!$N$3:$N$501,"=37")+SUMIFS('ANALITIKA EU PROJEKATA'!$I$3:$I$501,'ANALITIKA EU PROJEKATA'!$A$3:$A$501,"=41",'ANALITIKA EU PROJEKATA'!$Q$3:$Q$501,"=37")</f>
        <v>0</v>
      </c>
      <c r="I98" s="140">
        <f>SUMIFS('Plan rashoda za unos u SAP'!$K$3:$K$501,'Plan rashoda za unos u SAP'!$C$3:$C$501,"=43",'Plan rashoda za unos u SAP'!$N$3:$N$501,"=37")+SUMIFS('ANALITIKA EU PROJEKATA'!$I$3:$I$501,'ANALITIKA EU PROJEKATA'!$A$3:$A$501,"=43",'ANALITIKA EU PROJEKATA'!$Q$3:$Q$501,"=37")</f>
        <v>0</v>
      </c>
      <c r="J98" s="140">
        <f>SUMIFS('Plan rashoda za unos u SAP'!$K$3:$K$501,'Plan rashoda za unos u SAP'!$C$3:$C$501,"=51",'Plan rashoda za unos u SAP'!$N$3:$N$501,"=37")+SUMIFS('ANALITIKA EU PROJEKATA'!$I$3:$I$501,'ANALITIKA EU PROJEKATA'!$A$3:$A$501,"=51",'ANALITIKA EU PROJEKATA'!$Q$3:$Q$501,"=37")</f>
        <v>0</v>
      </c>
      <c r="K98" s="140">
        <f>SUMIFS('Plan rashoda za unos u SAP'!$K$3:$K$501,'Plan rashoda za unos u SAP'!$C$3:$C$501,"=52",'Plan rashoda za unos u SAP'!$N$3:$N$501,"=37")+SUMIFS('ANALITIKA EU PROJEKATA'!$I$3:$I$501,'ANALITIKA EU PROJEKATA'!$A$3:$A$501,"=52",'ANALITIKA EU PROJEKATA'!$Q$3:$Q$501,"=37")</f>
        <v>0</v>
      </c>
      <c r="L98" s="140">
        <f>SUMIFS('Plan rashoda za unos u SAP'!$K$3:$K$501,'Plan rashoda za unos u SAP'!$C$3:$C$501,"=552",'Plan rashoda za unos u SAP'!$N$3:$N$501,"=37")+SUMIFS('ANALITIKA EU PROJEKATA'!$I$3:$I$501,'ANALITIKA EU PROJEKATA'!$A$3:$A$501,"=552",'ANALITIKA EU PROJEKATA'!$Q$3:$Q$501,"=37")</f>
        <v>0</v>
      </c>
      <c r="M98" s="140">
        <f>SUMIFS('Plan rashoda za unos u SAP'!$K$3:$K$501,'Plan rashoda za unos u SAP'!$C$3:$C$501,"=559",'Plan rashoda za unos u SAP'!$N$3:$N$501,"=37")+SUMIFS('ANALITIKA EU PROJEKATA'!$I$3:$I$501,'ANALITIKA EU PROJEKATA'!$A$3:$A$501,"=559",'ANALITIKA EU PROJEKATA'!$Q$3:$Q$501,"=37")</f>
        <v>0</v>
      </c>
      <c r="N98" s="140">
        <f>SUMIFS('Plan rashoda za unos u SAP'!$K$3:$K$501,'Plan rashoda za unos u SAP'!$C$3:$C$501,"=561",'Plan rashoda za unos u SAP'!$N$3:$N$501,"=37")+SUMIFS('ANALITIKA EU PROJEKATA'!$I$3:$I$501,'ANALITIKA EU PROJEKATA'!$A$3:$A$501,"=561",'ANALITIKA EU PROJEKATA'!$Q$3:$Q$501,"=37")</f>
        <v>0</v>
      </c>
      <c r="O98" s="140">
        <f>SUMIFS('Plan rashoda za unos u SAP'!$K$3:$K$501,'Plan rashoda za unos u SAP'!$C$3:$C$501,"=563",'Plan rashoda za unos u SAP'!$N$3:$N$501,"=37")+SUMIFS('ANALITIKA EU PROJEKATA'!$I$3:$I$501,'ANALITIKA EU PROJEKATA'!$A$3:$A$501,"=563",'ANALITIKA EU PROJEKATA'!$Q$3:$Q$501,"=37")</f>
        <v>0</v>
      </c>
      <c r="P98" s="140">
        <f>SUMIFS('Plan rashoda za unos u SAP'!$K$3:$K$501,'Plan rashoda za unos u SAP'!$C$3:$C$501,"=573",'Plan rashoda za unos u SAP'!$N$3:$N$501,"=37")+SUMIFS('ANALITIKA EU PROJEKATA'!$I$3:$I$501,'ANALITIKA EU PROJEKATA'!$A$3:$A$501,"=573",'ANALITIKA EU PROJEKATA'!$Q$3:$Q$501,"=37")</f>
        <v>0</v>
      </c>
      <c r="Q98" s="140">
        <f>SUMIFS('Plan rashoda za unos u SAP'!$K$3:$K$501,'Plan rashoda za unos u SAP'!$C$3:$C$501,"=575",'Plan rashoda za unos u SAP'!$N$3:$N$501,"=37")+SUMIFS('ANALITIKA EU PROJEKATA'!$I$3:$I$501,'ANALITIKA EU PROJEKATA'!$A$3:$A$501,"=575",'ANALITIKA EU PROJEKATA'!$Q$3:$Q$501,"=37")</f>
        <v>0</v>
      </c>
      <c r="R98" s="140">
        <f>SUMIFS('Plan rashoda za unos u SAP'!$K$3:$K$501,'Plan rashoda za unos u SAP'!$C$3:$C$501,"=576",'Plan rashoda za unos u SAP'!$N$3:$N$501,"=37")+SUMIFS('ANALITIKA EU PROJEKATA'!$I$3:$I$501,'ANALITIKA EU PROJEKATA'!$A$3:$A$501,"=576",'ANALITIKA EU PROJEKATA'!$Q$3:$Q$501,"=37")</f>
        <v>0</v>
      </c>
      <c r="S98" s="140">
        <f>SUMIFS('Plan rashoda za unos u SAP'!$K$3:$K$501,'Plan rashoda za unos u SAP'!$C$3:$C$501,"=61",'Plan rashoda za unos u SAP'!$N$3:$N$501,"=37")+SUMIFS('ANALITIKA EU PROJEKATA'!$I$3:$I$501,'ANALITIKA EU PROJEKATA'!$A$3:$A$501,"=61",'ANALITIKA EU PROJEKATA'!$Q$3:$Q$501,"=37")</f>
        <v>0</v>
      </c>
      <c r="T98" s="140">
        <f>SUMIFS('Plan rashoda za unos u SAP'!$K$3:$K$501,'Plan rashoda za unos u SAP'!$C$3:$C$501,"=63",'Plan rashoda za unos u SAP'!$N$3:$N$501,"=37")+SUMIFS('ANALITIKA EU PROJEKATA'!$I$3:$I$501,'ANALITIKA EU PROJEKATA'!$A$3:$A$501,"=63",'ANALITIKA EU PROJEKATA'!$Q$3:$Q$501,"=37")</f>
        <v>0</v>
      </c>
      <c r="U98" s="140">
        <f>SUMIFS('Plan rashoda za unos u SAP'!$K$3:$K$501,'Plan rashoda za unos u SAP'!$C$3:$C$501,"=71",'Plan rashoda za unos u SAP'!$N$3:$N$501,"=37")+SUMIFS('ANALITIKA EU PROJEKATA'!$I$3:$I$501,'ANALITIKA EU PROJEKATA'!$A$3:$A$501,"=71",'ANALITIKA EU PROJEKATA'!$Q$3:$Q$501,"=37")</f>
        <v>0</v>
      </c>
      <c r="V98" s="140">
        <f>SUMIFS('Plan rashoda za unos u SAP'!$K$3:$K$501,'Plan rashoda za unos u SAP'!$C$3:$C$501,"=81",'Plan rashoda za unos u SAP'!$N$3:$N$501,"=37")+SUMIFS('ANALITIKA EU PROJEKATA'!$I$3:$I$501,'ANALITIKA EU PROJEKATA'!$A$3:$A$501,"=81",'ANALITIKA EU PROJEKATA'!$Q$3:$Q$501,"=37")</f>
        <v>0</v>
      </c>
      <c r="W98" s="140">
        <f>SUMIFS('Plan rashoda za unos u SAP'!$K$3:$K$501,'Plan rashoda za unos u SAP'!$C$3:$C$501,"=83",'Plan rashoda za unos u SAP'!$N$3:$N$501,"=37")+SUMIFS('ANALITIKA EU PROJEKATA'!$I$3:$I$501,'ANALITIKA EU PROJEKATA'!$A$3:$A$501,"=83",'ANALITIKA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214</v>
      </c>
      <c r="D99" s="133">
        <f t="shared" si="26"/>
        <v>0</v>
      </c>
      <c r="E99" s="140">
        <f>SUMIFS('Plan rashoda za unos u SAP'!$K$3:$K$501,'Plan rashoda za unos u SAP'!$C$3:$C$501,"=11",'Plan rashoda za unos u SAP'!$N$3:$N$501,"=38")+SUMIFS('ANALITIKA EU PROJEKATA'!$I$3:$I$501,'ANALITIKA EU PROJEKATA'!$A$3:$A$501,"=11",'ANALITIKA EU PROJEKATA'!$Q$3:$Q$501,"=38")</f>
        <v>0</v>
      </c>
      <c r="F99" s="140">
        <f>SUMIFS('Plan rashoda za unos u SAP'!$K$3:$K$501,'Plan rashoda za unos u SAP'!$C$3:$C$501,"=12",'Plan rashoda za unos u SAP'!$N$3:$N$501,"=38")+SUMIFS('ANALITIKA EU PROJEKATA'!$I$3:$I$501,'ANALITIKA EU PROJEKATA'!$A$3:$A$501,"=12",'ANALITIKA EU PROJEKATA'!$Q$3:$Q$501,"=38")</f>
        <v>0</v>
      </c>
      <c r="G99" s="140">
        <f>SUMIFS('Plan rashoda za unos u SAP'!$K$3:$K$501,'Plan rashoda za unos u SAP'!$C$3:$C$501,"=31",'Plan rashoda za unos u SAP'!$N$3:$N$501,"=38")+SUMIFS('ANALITIKA EU PROJEKATA'!$I$3:$I$501,'ANALITIKA EU PROJEKATA'!$A$3:$A$501,"=31",'ANALITIKA EU PROJEKATA'!$Q$3:$Q$501,"=38")</f>
        <v>0</v>
      </c>
      <c r="H99" s="140">
        <f>SUMIFS('Plan rashoda za unos u SAP'!$K$3:$K$501,'Plan rashoda za unos u SAP'!$C$3:$C$501,"=41",'Plan rashoda za unos u SAP'!$N$3:$N$501,"=38")+SUMIFS('ANALITIKA EU PROJEKATA'!$I$3:$I$501,'ANALITIKA EU PROJEKATA'!$A$3:$A$501,"=41",'ANALITIKA EU PROJEKATA'!$Q$3:$Q$501,"=38")</f>
        <v>0</v>
      </c>
      <c r="I99" s="140">
        <f>SUMIFS('Plan rashoda za unos u SAP'!$K$3:$K$501,'Plan rashoda za unos u SAP'!$C$3:$C$501,"=43",'Plan rashoda za unos u SAP'!$N$3:$N$501,"=38")+SUMIFS('ANALITIKA EU PROJEKATA'!$I$3:$I$501,'ANALITIKA EU PROJEKATA'!$A$3:$A$501,"=43",'ANALITIKA EU PROJEKATA'!$Q$3:$Q$501,"=38")</f>
        <v>0</v>
      </c>
      <c r="J99" s="140">
        <f>SUMIFS('Plan rashoda za unos u SAP'!$K$3:$K$501,'Plan rashoda za unos u SAP'!$C$3:$C$501,"=51",'Plan rashoda za unos u SAP'!$N$3:$N$501,"=38")+SUMIFS('ANALITIKA EU PROJEKATA'!$I$3:$I$501,'ANALITIKA EU PROJEKATA'!$A$3:$A$501,"=51",'ANALITIKA EU PROJEKATA'!$Q$3:$Q$501,"=38")</f>
        <v>0</v>
      </c>
      <c r="K99" s="140">
        <f>SUMIFS('Plan rashoda za unos u SAP'!$K$3:$K$501,'Plan rashoda za unos u SAP'!$C$3:$C$501,"=52",'Plan rashoda za unos u SAP'!$N$3:$N$501,"=38")+SUMIFS('ANALITIKA EU PROJEKATA'!$I$3:$I$501,'ANALITIKA EU PROJEKATA'!$A$3:$A$501,"=52",'ANALITIKA EU PROJEKATA'!$Q$3:$Q$501,"=38")</f>
        <v>0</v>
      </c>
      <c r="L99" s="140">
        <f>SUMIFS('Plan rashoda za unos u SAP'!$K$3:$K$501,'Plan rashoda za unos u SAP'!$C$3:$C$501,"=552",'Plan rashoda za unos u SAP'!$N$3:$N$501,"=38")+SUMIFS('ANALITIKA EU PROJEKATA'!$I$3:$I$501,'ANALITIKA EU PROJEKATA'!$A$3:$A$501,"=552",'ANALITIKA EU PROJEKATA'!$Q$3:$Q$501,"=38")</f>
        <v>0</v>
      </c>
      <c r="M99" s="140">
        <f>SUMIFS('Plan rashoda za unos u SAP'!$K$3:$K$501,'Plan rashoda za unos u SAP'!$C$3:$C$501,"=559",'Plan rashoda za unos u SAP'!$N$3:$N$501,"=38")+SUMIFS('ANALITIKA EU PROJEKATA'!$I$3:$I$501,'ANALITIKA EU PROJEKATA'!$A$3:$A$501,"=559",'ANALITIKA EU PROJEKATA'!$Q$3:$Q$501,"=38")</f>
        <v>0</v>
      </c>
      <c r="N99" s="140">
        <f>SUMIFS('Plan rashoda za unos u SAP'!$K$3:$K$501,'Plan rashoda za unos u SAP'!$C$3:$C$501,"=561",'Plan rashoda za unos u SAP'!$N$3:$N$501,"=38")+SUMIFS('ANALITIKA EU PROJEKATA'!$I$3:$I$501,'ANALITIKA EU PROJEKATA'!$A$3:$A$501,"=561",'ANALITIKA EU PROJEKATA'!$Q$3:$Q$501,"=38")</f>
        <v>0</v>
      </c>
      <c r="O99" s="140">
        <f>SUMIFS('Plan rashoda za unos u SAP'!$K$3:$K$501,'Plan rashoda za unos u SAP'!$C$3:$C$501,"=563",'Plan rashoda za unos u SAP'!$N$3:$N$501,"=38")+SUMIFS('ANALITIKA EU PROJEKATA'!$I$3:$I$501,'ANALITIKA EU PROJEKATA'!$A$3:$A$501,"=563",'ANALITIKA EU PROJEKATA'!$Q$3:$Q$501,"=38")</f>
        <v>0</v>
      </c>
      <c r="P99" s="140">
        <f>SUMIFS('Plan rashoda za unos u SAP'!$K$3:$K$501,'Plan rashoda za unos u SAP'!$C$3:$C$501,"=573",'Plan rashoda za unos u SAP'!$N$3:$N$501,"=38")+SUMIFS('ANALITIKA EU PROJEKATA'!$I$3:$I$501,'ANALITIKA EU PROJEKATA'!$A$3:$A$501,"=573",'ANALITIKA EU PROJEKATA'!$Q$3:$Q$501,"=38")</f>
        <v>0</v>
      </c>
      <c r="Q99" s="140">
        <f>SUMIFS('Plan rashoda za unos u SAP'!$K$3:$K$501,'Plan rashoda za unos u SAP'!$C$3:$C$501,"=575",'Plan rashoda za unos u SAP'!$N$3:$N$501,"=38")+SUMIFS('ANALITIKA EU PROJEKATA'!$I$3:$I$501,'ANALITIKA EU PROJEKATA'!$A$3:$A$501,"=575",'ANALITIKA EU PROJEKATA'!$Q$3:$Q$501,"=38")</f>
        <v>0</v>
      </c>
      <c r="R99" s="140">
        <f>SUMIFS('Plan rashoda za unos u SAP'!$K$3:$K$501,'Plan rashoda za unos u SAP'!$C$3:$C$501,"=576",'Plan rashoda za unos u SAP'!$N$3:$N$501,"=38")+SUMIFS('ANALITIKA EU PROJEKATA'!$I$3:$I$501,'ANALITIKA EU PROJEKATA'!$A$3:$A$501,"=576",'ANALITIKA EU PROJEKATA'!$Q$3:$Q$501,"=38")</f>
        <v>0</v>
      </c>
      <c r="S99" s="140">
        <f>SUMIFS('Plan rashoda za unos u SAP'!$K$3:$K$501,'Plan rashoda za unos u SAP'!$C$3:$C$501,"=61",'Plan rashoda za unos u SAP'!$N$3:$N$501,"=38")+SUMIFS('ANALITIKA EU PROJEKATA'!$I$3:$I$501,'ANALITIKA EU PROJEKATA'!$A$3:$A$501,"=61",'ANALITIKA EU PROJEKATA'!$Q$3:$Q$501,"=38")</f>
        <v>0</v>
      </c>
      <c r="T99" s="140">
        <f>SUMIFS('Plan rashoda za unos u SAP'!$K$3:$K$501,'Plan rashoda za unos u SAP'!$C$3:$C$501,"=63",'Plan rashoda za unos u SAP'!$N$3:$N$501,"=38")+SUMIFS('ANALITIKA EU PROJEKATA'!$I$3:$I$501,'ANALITIKA EU PROJEKATA'!$A$3:$A$501,"=63",'ANALITIKA EU PROJEKATA'!$Q$3:$Q$501,"=38")</f>
        <v>0</v>
      </c>
      <c r="U99" s="140">
        <f>SUMIFS('Plan rashoda za unos u SAP'!$K$3:$K$501,'Plan rashoda za unos u SAP'!$C$3:$C$501,"=71",'Plan rashoda za unos u SAP'!$N$3:$N$501,"=38")+SUMIFS('ANALITIKA EU PROJEKATA'!$I$3:$I$501,'ANALITIKA EU PROJEKATA'!$A$3:$A$501,"=71",'ANALITIKA EU PROJEKATA'!$Q$3:$Q$501,"=38")</f>
        <v>0</v>
      </c>
      <c r="V99" s="140">
        <f>SUMIFS('Plan rashoda za unos u SAP'!$K$3:$K$501,'Plan rashoda za unos u SAP'!$C$3:$C$501,"=81",'Plan rashoda za unos u SAP'!$N$3:$N$501,"=38")+SUMIFS('ANALITIKA EU PROJEKATA'!$I$3:$I$501,'ANALITIKA EU PROJEKATA'!$A$3:$A$501,"=81",'ANALITIKA EU PROJEKATA'!$Q$3:$Q$501,"=38")</f>
        <v>0</v>
      </c>
      <c r="W99" s="140">
        <f>SUMIFS('Plan rashoda za unos u SAP'!$K$3:$K$501,'Plan rashoda za unos u SAP'!$C$3:$C$501,"=83",'Plan rashoda za unos u SAP'!$N$3:$N$501,"=38")+SUMIFS('ANALITIKA EU PROJEKATA'!$I$3:$I$501,'ANALITIKA EU PROJEKATA'!$A$3:$A$501,"=83",'ANALITIKA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216</v>
      </c>
      <c r="D100" s="126">
        <f t="shared" si="26"/>
        <v>2958737</v>
      </c>
      <c r="E100" s="131">
        <f t="shared" ref="E100:G100" si="31">SUM(E101:E105)</f>
        <v>1643445</v>
      </c>
      <c r="F100" s="131">
        <f t="shared" si="31"/>
        <v>0</v>
      </c>
      <c r="G100" s="131">
        <f t="shared" si="31"/>
        <v>450000</v>
      </c>
      <c r="H100" s="131">
        <f>SUM(H101:H105)</f>
        <v>0</v>
      </c>
      <c r="I100" s="131">
        <f t="shared" ref="I100:K100" si="32">SUM(I101:I105)</f>
        <v>670000</v>
      </c>
      <c r="J100" s="131">
        <f t="shared" si="32"/>
        <v>95292</v>
      </c>
      <c r="K100" s="131">
        <f t="shared" si="32"/>
        <v>100000</v>
      </c>
      <c r="L100" s="131">
        <f>SUM(L101:L105)</f>
        <v>0</v>
      </c>
      <c r="M100" s="131">
        <f t="shared" ref="M100:O100" si="33">SUM(M101:M105)</f>
        <v>0</v>
      </c>
      <c r="N100" s="131">
        <f t="shared" si="33"/>
        <v>0</v>
      </c>
      <c r="O100" s="131">
        <f t="shared" si="33"/>
        <v>0</v>
      </c>
      <c r="P100" s="131">
        <f>SUM(P101:P105)</f>
        <v>0</v>
      </c>
      <c r="Q100" s="131">
        <f>SUM(Q101:Q105)</f>
        <v>0</v>
      </c>
      <c r="R100" s="131">
        <f>SUM(R101:R105)</f>
        <v>0</v>
      </c>
      <c r="S100" s="131">
        <f t="shared" ref="S100:V100" si="34">SUM(S101:S105)</f>
        <v>0</v>
      </c>
      <c r="T100" s="131">
        <f t="shared" si="34"/>
        <v>0</v>
      </c>
      <c r="U100" s="131">
        <f t="shared" si="34"/>
        <v>0</v>
      </c>
      <c r="V100" s="131">
        <f t="shared" si="34"/>
        <v>0</v>
      </c>
      <c r="W100" s="131">
        <f>SUM(W101:W105)</f>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340</v>
      </c>
      <c r="D101" s="133">
        <f t="shared" si="26"/>
        <v>0</v>
      </c>
      <c r="E101" s="140">
        <f>SUMIFS('Plan rashoda za unos u SAP'!$K$3:$K$501,'Plan rashoda za unos u SAP'!$C$3:$C$501,"=11",'Plan rashoda za unos u SAP'!$N$3:$N$501,"=41")+SUMIFS('ANALITIKA EU PROJEKATA'!$I$3:$I$501,'ANALITIKA EU PROJEKATA'!$A$3:$A$501,"=11",'ANALITIKA EU PROJEKATA'!$Q$3:$Q$501,"=41")</f>
        <v>0</v>
      </c>
      <c r="F101" s="140">
        <f>SUMIFS('Plan rashoda za unos u SAP'!$K$3:$K$501,'Plan rashoda za unos u SAP'!$C$3:$C$501,"=12",'Plan rashoda za unos u SAP'!$N$3:$N$501,"=41")+SUMIFS('ANALITIKA EU PROJEKATA'!$I$3:$I$501,'ANALITIKA EU PROJEKATA'!$A$3:$A$501,"=12",'ANALITIKA EU PROJEKATA'!$Q$3:$Q$501,"=41")</f>
        <v>0</v>
      </c>
      <c r="G101" s="140">
        <f>SUMIFS('Plan rashoda za unos u SAP'!$K$3:$K$501,'Plan rashoda za unos u SAP'!$C$3:$C$501,"=31",'Plan rashoda za unos u SAP'!$N$3:$N$501,"=41")+SUMIFS('ANALITIKA EU PROJEKATA'!$I$3:$I$501,'ANALITIKA EU PROJEKATA'!$A$3:$A$501,"=31",'ANALITIKA EU PROJEKATA'!$Q$3:$Q$501,"=41")</f>
        <v>0</v>
      </c>
      <c r="H101" s="140">
        <f>SUMIFS('Plan rashoda za unos u SAP'!$K$3:$K$501,'Plan rashoda za unos u SAP'!$C$3:$C$501,"=41",'Plan rashoda za unos u SAP'!$N$3:$N$501,"=41")+SUMIFS('ANALITIKA EU PROJEKATA'!$I$3:$I$501,'ANALITIKA EU PROJEKATA'!$A$3:$A$501,"=41",'ANALITIKA EU PROJEKATA'!$Q$3:$Q$501,"=41")</f>
        <v>0</v>
      </c>
      <c r="I101" s="140">
        <f>SUMIFS('Plan rashoda za unos u SAP'!$K$3:$K$501,'Plan rashoda za unos u SAP'!$C$3:$C$501,"=43",'Plan rashoda za unos u SAP'!$N$3:$N$501,"=41")+SUMIFS('ANALITIKA EU PROJEKATA'!$I$3:$I$501,'ANALITIKA EU PROJEKATA'!$A$3:$A$501,"=43",'ANALITIKA EU PROJEKATA'!$Q$3:$Q$501,"=41")</f>
        <v>0</v>
      </c>
      <c r="J101" s="140">
        <f>SUMIFS('Plan rashoda za unos u SAP'!$K$3:$K$501,'Plan rashoda za unos u SAP'!$C$3:$C$501,"=51",'Plan rashoda za unos u SAP'!$N$3:$N$501,"=41")+SUMIFS('ANALITIKA EU PROJEKATA'!$I$3:$I$501,'ANALITIKA EU PROJEKATA'!$A$3:$A$501,"=51",'ANALITIKA EU PROJEKATA'!$Q$3:$Q$501,"=41")</f>
        <v>0</v>
      </c>
      <c r="K101" s="140">
        <f>SUMIFS('Plan rashoda za unos u SAP'!$K$3:$K$501,'Plan rashoda za unos u SAP'!$C$3:$C$501,"=52",'Plan rashoda za unos u SAP'!$N$3:$N$501,"=41")+SUMIFS('ANALITIKA EU PROJEKATA'!$I$3:$I$501,'ANALITIKA EU PROJEKATA'!$A$3:$A$501,"=52",'ANALITIKA EU PROJEKATA'!$Q$3:$Q$501,"=41")</f>
        <v>0</v>
      </c>
      <c r="L101" s="140">
        <f>SUMIFS('Plan rashoda za unos u SAP'!$K$3:$K$501,'Plan rashoda za unos u SAP'!$C$3:$C$501,"=552",'Plan rashoda za unos u SAP'!$N$3:$N$501,"=41")+SUMIFS('ANALITIKA EU PROJEKATA'!$I$3:$I$501,'ANALITIKA EU PROJEKATA'!$A$3:$A$501,"=552",'ANALITIKA EU PROJEKATA'!$Q$3:$Q$501,"=41")</f>
        <v>0</v>
      </c>
      <c r="M101" s="140">
        <f>SUMIFS('Plan rashoda za unos u SAP'!$K$3:$K$501,'Plan rashoda za unos u SAP'!$C$3:$C$501,"=559",'Plan rashoda za unos u SAP'!$N$3:$N$501,"=41")+SUMIFS('ANALITIKA EU PROJEKATA'!$I$3:$I$501,'ANALITIKA EU PROJEKATA'!$A$3:$A$501,"=559",'ANALITIKA EU PROJEKATA'!$Q$3:$Q$501,"=41")</f>
        <v>0</v>
      </c>
      <c r="N101" s="140">
        <f>SUMIFS('Plan rashoda za unos u SAP'!$K$3:$K$501,'Plan rashoda za unos u SAP'!$C$3:$C$501,"=561",'Plan rashoda za unos u SAP'!$N$3:$N$501,"=41")+SUMIFS('ANALITIKA EU PROJEKATA'!$I$3:$I$501,'ANALITIKA EU PROJEKATA'!$A$3:$A$501,"=561",'ANALITIKA EU PROJEKATA'!$Q$3:$Q$501,"=41")</f>
        <v>0</v>
      </c>
      <c r="O101" s="140">
        <f>SUMIFS('Plan rashoda za unos u SAP'!$K$3:$K$501,'Plan rashoda za unos u SAP'!$C$3:$C$501,"=563",'Plan rashoda za unos u SAP'!$N$3:$N$501,"=41")+SUMIFS('ANALITIKA EU PROJEKATA'!$I$3:$I$501,'ANALITIKA EU PROJEKATA'!$A$3:$A$501,"=563",'ANALITIKA EU PROJEKATA'!$Q$3:$Q$501,"=41")</f>
        <v>0</v>
      </c>
      <c r="P101" s="140">
        <f>SUMIFS('Plan rashoda za unos u SAP'!$K$3:$K$501,'Plan rashoda za unos u SAP'!$C$3:$C$501,"=573",'Plan rashoda za unos u SAP'!$N$3:$N$501,"=41")+SUMIFS('ANALITIKA EU PROJEKATA'!$I$3:$I$501,'ANALITIKA EU PROJEKATA'!$A$3:$A$501,"=573",'ANALITIKA EU PROJEKATA'!$Q$3:$Q$501,"=41")</f>
        <v>0</v>
      </c>
      <c r="Q101" s="140">
        <f>SUMIFS('Plan rashoda za unos u SAP'!$K$3:$K$501,'Plan rashoda za unos u SAP'!$C$3:$C$501,"=575",'Plan rashoda za unos u SAP'!$N$3:$N$501,"=41")+SUMIFS('ANALITIKA EU PROJEKATA'!$I$3:$I$501,'ANALITIKA EU PROJEKATA'!$A$3:$A$501,"=575",'ANALITIKA EU PROJEKATA'!$Q$3:$Q$501,"=41")</f>
        <v>0</v>
      </c>
      <c r="R101" s="140">
        <f>SUMIFS('Plan rashoda za unos u SAP'!$K$3:$K$501,'Plan rashoda za unos u SAP'!$C$3:$C$501,"=576",'Plan rashoda za unos u SAP'!$N$3:$N$501,"=41")+SUMIFS('ANALITIKA EU PROJEKATA'!$I$3:$I$501,'ANALITIKA EU PROJEKATA'!$A$3:$A$501,"=576",'ANALITIKA EU PROJEKATA'!$Q$3:$Q$501,"=41")</f>
        <v>0</v>
      </c>
      <c r="S101" s="140">
        <f>SUMIFS('Plan rashoda za unos u SAP'!$K$3:$K$501,'Plan rashoda za unos u SAP'!$C$3:$C$501,"=61",'Plan rashoda za unos u SAP'!$N$3:$N$501,"=41")+SUMIFS('ANALITIKA EU PROJEKATA'!$I$3:$I$501,'ANALITIKA EU PROJEKATA'!$A$3:$A$501,"=61",'ANALITIKA EU PROJEKATA'!$Q$3:$Q$501,"=41")</f>
        <v>0</v>
      </c>
      <c r="T101" s="140">
        <f>SUMIFS('Plan rashoda za unos u SAP'!$K$3:$K$501,'Plan rashoda za unos u SAP'!$C$3:$C$501,"=63",'Plan rashoda za unos u SAP'!$N$3:$N$501,"=41")+SUMIFS('ANALITIKA EU PROJEKATA'!$I$3:$I$501,'ANALITIKA EU PROJEKATA'!$A$3:$A$501,"=63",'ANALITIKA EU PROJEKATA'!$Q$3:$Q$501,"=41")</f>
        <v>0</v>
      </c>
      <c r="U101" s="140">
        <f>SUMIFS('Plan rashoda za unos u SAP'!$K$3:$K$501,'Plan rashoda za unos u SAP'!$C$3:$C$501,"=71",'Plan rashoda za unos u SAP'!$N$3:$N$501,"=41")+SUMIFS('ANALITIKA EU PROJEKATA'!$I$3:$I$501,'ANALITIKA EU PROJEKATA'!$A$3:$A$501,"=71",'ANALITIKA EU PROJEKATA'!$Q$3:$Q$501,"=41")</f>
        <v>0</v>
      </c>
      <c r="V101" s="140">
        <f>SUMIFS('Plan rashoda za unos u SAP'!$K$3:$K$501,'Plan rashoda za unos u SAP'!$C$3:$C$501,"=81",'Plan rashoda za unos u SAP'!$N$3:$N$501,"=41")+SUMIFS('ANALITIKA EU PROJEKATA'!$I$3:$I$501,'ANALITIKA EU PROJEKATA'!$A$3:$A$501,"=81",'ANALITIKA EU PROJEKATA'!$Q$3:$Q$501,"=41")</f>
        <v>0</v>
      </c>
      <c r="W101" s="140">
        <f>SUMIFS('Plan rashoda za unos u SAP'!$K$3:$K$501,'Plan rashoda za unos u SAP'!$C$3:$C$501,"=83",'Plan rashoda za unos u SAP'!$N$3:$N$501,"=41")+SUMIFS('ANALITIKA EU PROJEKATA'!$I$3:$I$501,'ANALITIKA EU PROJEKATA'!$A$3:$A$501,"=83",'ANALITIKA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261</v>
      </c>
      <c r="D102" s="133">
        <f t="shared" si="26"/>
        <v>2958737</v>
      </c>
      <c r="E102" s="140">
        <f>SUMIFS('Plan rashoda za unos u SAP'!$K$3:$K$501,'Plan rashoda za unos u SAP'!$C$3:$C$501,"=11",'Plan rashoda za unos u SAP'!$N$3:$N$501,"=42")+SUMIFS('ANALITIKA EU PROJEKATA'!$I$3:$I$501,'ANALITIKA EU PROJEKATA'!$A$3:$A$501,"=11",'ANALITIKA EU PROJEKATA'!$Q$3:$Q$501,"=42")</f>
        <v>1643445</v>
      </c>
      <c r="F102" s="140">
        <f>SUMIFS('Plan rashoda za unos u SAP'!$K$3:$K$501,'Plan rashoda za unos u SAP'!$C$3:$C$501,"=12",'Plan rashoda za unos u SAP'!$N$3:$N$501,"=42")+SUMIFS('ANALITIKA EU PROJEKATA'!$I$3:$I$501,'ANALITIKA EU PROJEKATA'!$A$3:$A$501,"=12",'ANALITIKA EU PROJEKATA'!$Q$3:$Q$501,"=42")</f>
        <v>0</v>
      </c>
      <c r="G102" s="140">
        <f>SUMIFS('Plan rashoda za unos u SAP'!$K$3:$K$501,'Plan rashoda za unos u SAP'!$C$3:$C$501,"=31",'Plan rashoda za unos u SAP'!$N$3:$N$501,"=42")+SUMIFS('ANALITIKA EU PROJEKATA'!$I$3:$I$501,'ANALITIKA EU PROJEKATA'!$A$3:$A$501,"=31",'ANALITIKA EU PROJEKATA'!$Q$3:$Q$501,"=42")</f>
        <v>450000</v>
      </c>
      <c r="H102" s="140">
        <f>SUMIFS('Plan rashoda za unos u SAP'!$K$3:$K$501,'Plan rashoda za unos u SAP'!$C$3:$C$501,"=41",'Plan rashoda za unos u SAP'!$N$3:$N$501,"=42")+SUMIFS('ANALITIKA EU PROJEKATA'!$I$3:$I$501,'ANALITIKA EU PROJEKATA'!$A$3:$A$501,"=41",'ANALITIKA EU PROJEKATA'!$Q$3:$Q$501,"=42")</f>
        <v>0</v>
      </c>
      <c r="I102" s="140">
        <f>SUMIFS('Plan rashoda za unos u SAP'!$K$3:$K$501,'Plan rashoda za unos u SAP'!$C$3:$C$501,"=43",'Plan rashoda za unos u SAP'!$N$3:$N$501,"=42")+SUMIFS('ANALITIKA EU PROJEKATA'!$I$3:$I$501,'ANALITIKA EU PROJEKATA'!$A$3:$A$501,"=43",'ANALITIKA EU PROJEKATA'!$Q$3:$Q$501,"=42")</f>
        <v>670000</v>
      </c>
      <c r="J102" s="140">
        <f>SUMIFS('Plan rashoda za unos u SAP'!$K$3:$K$501,'Plan rashoda za unos u SAP'!$C$3:$C$501,"=51",'Plan rashoda za unos u SAP'!$N$3:$N$501,"=42")+SUMIFS('ANALITIKA EU PROJEKATA'!$I$3:$I$501,'ANALITIKA EU PROJEKATA'!$A$3:$A$501,"=51",'ANALITIKA EU PROJEKATA'!$Q$3:$Q$501,"=42")</f>
        <v>95292</v>
      </c>
      <c r="K102" s="140">
        <f>SUMIFS('Plan rashoda za unos u SAP'!$K$3:$K$501,'Plan rashoda za unos u SAP'!$C$3:$C$501,"=52",'Plan rashoda za unos u SAP'!$N$3:$N$501,"=42")+SUMIFS('ANALITIKA EU PROJEKATA'!$I$3:$I$501,'ANALITIKA EU PROJEKATA'!$A$3:$A$501,"=52",'ANALITIKA EU PROJEKATA'!$Q$3:$Q$501,"=42")</f>
        <v>100000</v>
      </c>
      <c r="L102" s="140">
        <f>SUMIFS('Plan rashoda za unos u SAP'!$K$3:$K$501,'Plan rashoda za unos u SAP'!$C$3:$C$501,"=552",'Plan rashoda za unos u SAP'!$N$3:$N$501,"=42")+SUMIFS('ANALITIKA EU PROJEKATA'!$I$3:$I$501,'ANALITIKA EU PROJEKATA'!$A$3:$A$501,"=552",'ANALITIKA EU PROJEKATA'!$Q$3:$Q$501,"=42")</f>
        <v>0</v>
      </c>
      <c r="M102" s="140">
        <f>SUMIFS('Plan rashoda za unos u SAP'!$K$3:$K$501,'Plan rashoda za unos u SAP'!$C$3:$C$501,"=559",'Plan rashoda za unos u SAP'!$N$3:$N$501,"=42")+SUMIFS('ANALITIKA EU PROJEKATA'!$I$3:$I$501,'ANALITIKA EU PROJEKATA'!$A$3:$A$501,"=559",'ANALITIKA EU PROJEKATA'!$Q$3:$Q$501,"=42")</f>
        <v>0</v>
      </c>
      <c r="N102" s="140">
        <f>SUMIFS('Plan rashoda za unos u SAP'!$K$3:$K$501,'Plan rashoda za unos u SAP'!$C$3:$C$501,"=561",'Plan rashoda za unos u SAP'!$N$3:$N$501,"=42")+SUMIFS('ANALITIKA EU PROJEKATA'!$I$3:$I$501,'ANALITIKA EU PROJEKATA'!$A$3:$A$501,"=561",'ANALITIKA EU PROJEKATA'!$Q$3:$Q$501,"=42")</f>
        <v>0</v>
      </c>
      <c r="O102" s="140">
        <f>SUMIFS('Plan rashoda za unos u SAP'!$K$3:$K$501,'Plan rashoda za unos u SAP'!$C$3:$C$501,"=563",'Plan rashoda za unos u SAP'!$N$3:$N$501,"=42")+SUMIFS('ANALITIKA EU PROJEKATA'!$I$3:$I$501,'ANALITIKA EU PROJEKATA'!$A$3:$A$501,"=563",'ANALITIKA EU PROJEKATA'!$Q$3:$Q$501,"=42")</f>
        <v>0</v>
      </c>
      <c r="P102" s="140">
        <f>SUMIFS('Plan rashoda za unos u SAP'!$K$3:$K$501,'Plan rashoda za unos u SAP'!$C$3:$C$501,"=573",'Plan rashoda za unos u SAP'!$N$3:$N$501,"=42")+SUMIFS('ANALITIKA EU PROJEKATA'!$I$3:$I$501,'ANALITIKA EU PROJEKATA'!$A$3:$A$501,"=573",'ANALITIKA EU PROJEKATA'!$Q$3:$Q$501,"=42")</f>
        <v>0</v>
      </c>
      <c r="Q102" s="140">
        <f>SUMIFS('Plan rashoda za unos u SAP'!$K$3:$K$501,'Plan rashoda za unos u SAP'!$C$3:$C$501,"=575",'Plan rashoda za unos u SAP'!$N$3:$N$501,"=42")+SUMIFS('ANALITIKA EU PROJEKATA'!$I$3:$I$501,'ANALITIKA EU PROJEKATA'!$A$3:$A$501,"=575",'ANALITIKA EU PROJEKATA'!$Q$3:$Q$501,"=42")</f>
        <v>0</v>
      </c>
      <c r="R102" s="140">
        <f>SUMIFS('Plan rashoda za unos u SAP'!$K$3:$K$501,'Plan rashoda za unos u SAP'!$C$3:$C$501,"=576",'Plan rashoda za unos u SAP'!$N$3:$N$501,"=42")+SUMIFS('ANALITIKA EU PROJEKATA'!$I$3:$I$501,'ANALITIKA EU PROJEKATA'!$A$3:$A$501,"=576",'ANALITIKA EU PROJEKATA'!$Q$3:$Q$501,"=42")</f>
        <v>0</v>
      </c>
      <c r="S102" s="140">
        <f>SUMIFS('Plan rashoda za unos u SAP'!$K$3:$K$501,'Plan rashoda za unos u SAP'!$C$3:$C$501,"=61",'Plan rashoda za unos u SAP'!$N$3:$N$501,"=42")+SUMIFS('ANALITIKA EU PROJEKATA'!$I$3:$I$501,'ANALITIKA EU PROJEKATA'!$A$3:$A$501,"=61",'ANALITIKA EU PROJEKATA'!$Q$3:$Q$501,"=42")</f>
        <v>0</v>
      </c>
      <c r="T102" s="140">
        <f>SUMIFS('Plan rashoda za unos u SAP'!$K$3:$K$501,'Plan rashoda za unos u SAP'!$C$3:$C$501,"=63",'Plan rashoda za unos u SAP'!$N$3:$N$501,"=42")+SUMIFS('ANALITIKA EU PROJEKATA'!$I$3:$I$501,'ANALITIKA EU PROJEKATA'!$A$3:$A$501,"=63",'ANALITIKA EU PROJEKATA'!$Q$3:$Q$501,"=42")</f>
        <v>0</v>
      </c>
      <c r="U102" s="140">
        <f>SUMIFS('Plan rashoda za unos u SAP'!$K$3:$K$501,'Plan rashoda za unos u SAP'!$C$3:$C$501,"=71",'Plan rashoda za unos u SAP'!$N$3:$N$501,"=42")+SUMIFS('ANALITIKA EU PROJEKATA'!$I$3:$I$501,'ANALITIKA EU PROJEKATA'!$A$3:$A$501,"=71",'ANALITIKA EU PROJEKATA'!$Q$3:$Q$501,"=42")</f>
        <v>0</v>
      </c>
      <c r="V102" s="140">
        <f>SUMIFS('Plan rashoda za unos u SAP'!$K$3:$K$501,'Plan rashoda za unos u SAP'!$C$3:$C$501,"=81",'Plan rashoda za unos u SAP'!$N$3:$N$501,"=42")+SUMIFS('ANALITIKA EU PROJEKATA'!$I$3:$I$501,'ANALITIKA EU PROJEKATA'!$A$3:$A$501,"=81",'ANALITIKA EU PROJEKATA'!$Q$3:$Q$501,"=42")</f>
        <v>0</v>
      </c>
      <c r="W102" s="140">
        <f>SUMIFS('Plan rashoda za unos u SAP'!$K$3:$K$501,'Plan rashoda za unos u SAP'!$C$3:$C$501,"=83",'Plan rashoda za unos u SAP'!$N$3:$N$501,"=42")+SUMIFS('ANALITIKA EU PROJEKATA'!$I$3:$I$501,'ANALITIKA EU PROJEKATA'!$A$3:$A$501,"=83",'ANALITIKA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344</v>
      </c>
      <c r="D103" s="133">
        <f t="shared" si="26"/>
        <v>0</v>
      </c>
      <c r="E103" s="140">
        <f>SUMIFS('Plan rashoda za unos u SAP'!$K$3:$K$501,'Plan rashoda za unos u SAP'!$C$3:$C$501,"=11",'Plan rashoda za unos u SAP'!$N$3:$N$501,"=43")+SUMIFS('ANALITIKA EU PROJEKATA'!$I$3:$I$501,'ANALITIKA EU PROJEKATA'!$A$3:$A$501,"=11",'ANALITIKA EU PROJEKATA'!$Q$3:$Q$501,"=43")</f>
        <v>0</v>
      </c>
      <c r="F103" s="140">
        <f>SUMIFS('Plan rashoda za unos u SAP'!$K$3:$K$501,'Plan rashoda za unos u SAP'!$C$3:$C$501,"=12",'Plan rashoda za unos u SAP'!$N$3:$N$501,"=43")+SUMIFS('ANALITIKA EU PROJEKATA'!$I$3:$I$501,'ANALITIKA EU PROJEKATA'!$A$3:$A$501,"=12",'ANALITIKA EU PROJEKATA'!$Q$3:$Q$501,"=43")</f>
        <v>0</v>
      </c>
      <c r="G103" s="140">
        <f>SUMIFS('Plan rashoda za unos u SAP'!$K$3:$K$501,'Plan rashoda za unos u SAP'!$C$3:$C$501,"=31",'Plan rashoda za unos u SAP'!$N$3:$N$501,"=43")+SUMIFS('ANALITIKA EU PROJEKATA'!$I$3:$I$501,'ANALITIKA EU PROJEKATA'!$A$3:$A$501,"=31",'ANALITIKA EU PROJEKATA'!$Q$3:$Q$501,"=43")</f>
        <v>0</v>
      </c>
      <c r="H103" s="140">
        <f>SUMIFS('Plan rashoda za unos u SAP'!$K$3:$K$501,'Plan rashoda za unos u SAP'!$C$3:$C$501,"=41",'Plan rashoda za unos u SAP'!$N$3:$N$501,"=43")+SUMIFS('ANALITIKA EU PROJEKATA'!$I$3:$I$501,'ANALITIKA EU PROJEKATA'!$A$3:$A$501,"=41",'ANALITIKA EU PROJEKATA'!$Q$3:$Q$501,"=43")</f>
        <v>0</v>
      </c>
      <c r="I103" s="140">
        <f>SUMIFS('Plan rashoda za unos u SAP'!$K$3:$K$501,'Plan rashoda za unos u SAP'!$C$3:$C$501,"=43",'Plan rashoda za unos u SAP'!$N$3:$N$501,"=43")+SUMIFS('ANALITIKA EU PROJEKATA'!$I$3:$I$501,'ANALITIKA EU PROJEKATA'!$A$3:$A$501,"=43",'ANALITIKA EU PROJEKATA'!$Q$3:$Q$501,"=43")</f>
        <v>0</v>
      </c>
      <c r="J103" s="140">
        <f>SUMIFS('Plan rashoda za unos u SAP'!$K$3:$K$501,'Plan rashoda za unos u SAP'!$C$3:$C$501,"=51",'Plan rashoda za unos u SAP'!$N$3:$N$501,"=43")+SUMIFS('ANALITIKA EU PROJEKATA'!$I$3:$I$501,'ANALITIKA EU PROJEKATA'!$A$3:$A$501,"=51",'ANALITIKA EU PROJEKATA'!$Q$3:$Q$501,"=43")</f>
        <v>0</v>
      </c>
      <c r="K103" s="140">
        <f>SUMIFS('Plan rashoda za unos u SAP'!$K$3:$K$501,'Plan rashoda za unos u SAP'!$C$3:$C$501,"=52",'Plan rashoda za unos u SAP'!$N$3:$N$501,"=43")+SUMIFS('ANALITIKA EU PROJEKATA'!$I$3:$I$501,'ANALITIKA EU PROJEKATA'!$A$3:$A$501,"=52",'ANALITIKA EU PROJEKATA'!$Q$3:$Q$501,"=43")</f>
        <v>0</v>
      </c>
      <c r="L103" s="140">
        <f>SUMIFS('Plan rashoda za unos u SAP'!$K$3:$K$501,'Plan rashoda za unos u SAP'!$C$3:$C$501,"=552",'Plan rashoda za unos u SAP'!$N$3:$N$501,"=43")+SUMIFS('ANALITIKA EU PROJEKATA'!$I$3:$I$501,'ANALITIKA EU PROJEKATA'!$A$3:$A$501,"=552",'ANALITIKA EU PROJEKATA'!$Q$3:$Q$501,"=43")</f>
        <v>0</v>
      </c>
      <c r="M103" s="140">
        <f>SUMIFS('Plan rashoda za unos u SAP'!$K$3:$K$501,'Plan rashoda za unos u SAP'!$C$3:$C$501,"=559",'Plan rashoda za unos u SAP'!$N$3:$N$501,"=43")+SUMIFS('ANALITIKA EU PROJEKATA'!$I$3:$I$501,'ANALITIKA EU PROJEKATA'!$A$3:$A$501,"=559",'ANALITIKA EU PROJEKATA'!$Q$3:$Q$501,"=43")</f>
        <v>0</v>
      </c>
      <c r="N103" s="140">
        <f>SUMIFS('Plan rashoda za unos u SAP'!$K$3:$K$501,'Plan rashoda za unos u SAP'!$C$3:$C$501,"=561",'Plan rashoda za unos u SAP'!$N$3:$N$501,"=43")+SUMIFS('ANALITIKA EU PROJEKATA'!$I$3:$I$501,'ANALITIKA EU PROJEKATA'!$A$3:$A$501,"=561",'ANALITIKA EU PROJEKATA'!$Q$3:$Q$501,"=43")</f>
        <v>0</v>
      </c>
      <c r="O103" s="140">
        <f>SUMIFS('Plan rashoda za unos u SAP'!$K$3:$K$501,'Plan rashoda za unos u SAP'!$C$3:$C$501,"=563",'Plan rashoda za unos u SAP'!$N$3:$N$501,"=43")+SUMIFS('ANALITIKA EU PROJEKATA'!$I$3:$I$501,'ANALITIKA EU PROJEKATA'!$A$3:$A$501,"=563",'ANALITIKA EU PROJEKATA'!$Q$3:$Q$501,"=43")</f>
        <v>0</v>
      </c>
      <c r="P103" s="140">
        <f>SUMIFS('Plan rashoda za unos u SAP'!$K$3:$K$501,'Plan rashoda za unos u SAP'!$C$3:$C$501,"=573",'Plan rashoda za unos u SAP'!$N$3:$N$501,"=43")+SUMIFS('ANALITIKA EU PROJEKATA'!$I$3:$I$501,'ANALITIKA EU PROJEKATA'!$A$3:$A$501,"=573",'ANALITIKA EU PROJEKATA'!$Q$3:$Q$501,"=43")</f>
        <v>0</v>
      </c>
      <c r="Q103" s="140">
        <f>SUMIFS('Plan rashoda za unos u SAP'!$K$3:$K$501,'Plan rashoda za unos u SAP'!$C$3:$C$501,"=575",'Plan rashoda za unos u SAP'!$N$3:$N$501,"=43")+SUMIFS('ANALITIKA EU PROJEKATA'!$I$3:$I$501,'ANALITIKA EU PROJEKATA'!$A$3:$A$501,"=575",'ANALITIKA EU PROJEKATA'!$Q$3:$Q$501,"=43")</f>
        <v>0</v>
      </c>
      <c r="R103" s="140">
        <f>SUMIFS('Plan rashoda za unos u SAP'!$K$3:$K$501,'Plan rashoda za unos u SAP'!$C$3:$C$501,"=576",'Plan rashoda za unos u SAP'!$N$3:$N$501,"=43")+SUMIFS('ANALITIKA EU PROJEKATA'!$I$3:$I$501,'ANALITIKA EU PROJEKATA'!$A$3:$A$501,"=576",'ANALITIKA EU PROJEKATA'!$Q$3:$Q$501,"=43")</f>
        <v>0</v>
      </c>
      <c r="S103" s="140">
        <f>SUMIFS('Plan rashoda za unos u SAP'!$K$3:$K$501,'Plan rashoda za unos u SAP'!$C$3:$C$501,"=61",'Plan rashoda za unos u SAP'!$N$3:$N$501,"=43")+SUMIFS('ANALITIKA EU PROJEKATA'!$I$3:$I$501,'ANALITIKA EU PROJEKATA'!$A$3:$A$501,"=61",'ANALITIKA EU PROJEKATA'!$Q$3:$Q$501,"=43")</f>
        <v>0</v>
      </c>
      <c r="T103" s="140">
        <f>SUMIFS('Plan rashoda za unos u SAP'!$K$3:$K$501,'Plan rashoda za unos u SAP'!$C$3:$C$501,"=63",'Plan rashoda za unos u SAP'!$N$3:$N$501,"=43")+SUMIFS('ANALITIKA EU PROJEKATA'!$I$3:$I$501,'ANALITIKA EU PROJEKATA'!$A$3:$A$501,"=63",'ANALITIKA EU PROJEKATA'!$Q$3:$Q$501,"=43")</f>
        <v>0</v>
      </c>
      <c r="U103" s="140">
        <f>SUMIFS('Plan rashoda za unos u SAP'!$K$3:$K$501,'Plan rashoda za unos u SAP'!$C$3:$C$501,"=71",'Plan rashoda za unos u SAP'!$N$3:$N$501,"=43")+SUMIFS('ANALITIKA EU PROJEKATA'!$I$3:$I$501,'ANALITIKA EU PROJEKATA'!$A$3:$A$501,"=71",'ANALITIKA EU PROJEKATA'!$Q$3:$Q$501,"=43")</f>
        <v>0</v>
      </c>
      <c r="V103" s="140">
        <f>SUMIFS('Plan rashoda za unos u SAP'!$K$3:$K$501,'Plan rashoda za unos u SAP'!$C$3:$C$501,"=81",'Plan rashoda za unos u SAP'!$N$3:$N$501,"=43")+SUMIFS('ANALITIKA EU PROJEKATA'!$I$3:$I$501,'ANALITIKA EU PROJEKATA'!$A$3:$A$501,"=81",'ANALITIKA EU PROJEKATA'!$Q$3:$Q$501,"=43")</f>
        <v>0</v>
      </c>
      <c r="W103" s="140">
        <f>SUMIFS('Plan rashoda za unos u SAP'!$K$3:$K$501,'Plan rashoda za unos u SAP'!$C$3:$C$501,"=83",'Plan rashoda za unos u SAP'!$N$3:$N$501,"=43")+SUMIFS('ANALITIKA EU PROJEKATA'!$I$3:$I$501,'ANALITIKA EU PROJEKATA'!$A$3:$A$501,"=83",'ANALITIKA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345</v>
      </c>
      <c r="D104" s="133">
        <f t="shared" si="26"/>
        <v>0</v>
      </c>
      <c r="E104" s="140">
        <f>SUMIFS('Plan rashoda za unos u SAP'!$K$3:$K$501,'Plan rashoda za unos u SAP'!$C$3:$C$501,"=11",'Plan rashoda za unos u SAP'!$N$3:$N$501,"=44")+SUMIFS('ANALITIKA EU PROJEKATA'!$I$3:$I$501,'ANALITIKA EU PROJEKATA'!$A$3:$A$501,"=11",'ANALITIKA EU PROJEKATA'!$Q$3:$Q$501,"=44")</f>
        <v>0</v>
      </c>
      <c r="F104" s="140">
        <f>SUMIFS('Plan rashoda za unos u SAP'!$K$3:$K$501,'Plan rashoda za unos u SAP'!$C$3:$C$501,"=12",'Plan rashoda za unos u SAP'!$N$3:$N$501,"=44")+SUMIFS('ANALITIKA EU PROJEKATA'!$I$3:$I$501,'ANALITIKA EU PROJEKATA'!$A$3:$A$501,"=12",'ANALITIKA EU PROJEKATA'!$Q$3:$Q$501,"=44")</f>
        <v>0</v>
      </c>
      <c r="G104" s="140">
        <f>SUMIFS('Plan rashoda za unos u SAP'!$K$3:$K$501,'Plan rashoda za unos u SAP'!$C$3:$C$501,"=31",'Plan rashoda za unos u SAP'!$N$3:$N$501,"=44")+SUMIFS('ANALITIKA EU PROJEKATA'!$I$3:$I$501,'ANALITIKA EU PROJEKATA'!$A$3:$A$501,"=31",'ANALITIKA EU PROJEKATA'!$Q$3:$Q$501,"=44")</f>
        <v>0</v>
      </c>
      <c r="H104" s="140">
        <f>SUMIFS('Plan rashoda za unos u SAP'!$K$3:$K$501,'Plan rashoda za unos u SAP'!$C$3:$C$501,"=41",'Plan rashoda za unos u SAP'!$N$3:$N$501,"=44")+SUMIFS('ANALITIKA EU PROJEKATA'!$I$3:$I$501,'ANALITIKA EU PROJEKATA'!$A$3:$A$501,"=41",'ANALITIKA EU PROJEKATA'!$Q$3:$Q$501,"=44")</f>
        <v>0</v>
      </c>
      <c r="I104" s="140">
        <f>SUMIFS('Plan rashoda za unos u SAP'!$K$3:$K$501,'Plan rashoda za unos u SAP'!$C$3:$C$501,"=43",'Plan rashoda za unos u SAP'!$N$3:$N$501,"=44")+SUMIFS('ANALITIKA EU PROJEKATA'!$I$3:$I$501,'ANALITIKA EU PROJEKATA'!$A$3:$A$501,"=43",'ANALITIKA EU PROJEKATA'!$Q$3:$Q$501,"=44")</f>
        <v>0</v>
      </c>
      <c r="J104" s="140">
        <f>SUMIFS('Plan rashoda za unos u SAP'!$K$3:$K$501,'Plan rashoda za unos u SAP'!$C$3:$C$501,"=51",'Plan rashoda za unos u SAP'!$N$3:$N$501,"=44")+SUMIFS('ANALITIKA EU PROJEKATA'!$I$3:$I$501,'ANALITIKA EU PROJEKATA'!$A$3:$A$501,"=51",'ANALITIKA EU PROJEKATA'!$Q$3:$Q$501,"=44")</f>
        <v>0</v>
      </c>
      <c r="K104" s="140">
        <f>SUMIFS('Plan rashoda za unos u SAP'!$K$3:$K$501,'Plan rashoda za unos u SAP'!$C$3:$C$501,"=52",'Plan rashoda za unos u SAP'!$N$3:$N$501,"=44")+SUMIFS('ANALITIKA EU PROJEKATA'!$I$3:$I$501,'ANALITIKA EU PROJEKATA'!$A$3:$A$501,"=52",'ANALITIKA EU PROJEKATA'!$Q$3:$Q$501,"=44")</f>
        <v>0</v>
      </c>
      <c r="L104" s="140">
        <f>SUMIFS('Plan rashoda za unos u SAP'!$K$3:$K$501,'Plan rashoda za unos u SAP'!$C$3:$C$501,"=552",'Plan rashoda za unos u SAP'!$N$3:$N$501,"=44")+SUMIFS('ANALITIKA EU PROJEKATA'!$I$3:$I$501,'ANALITIKA EU PROJEKATA'!$A$3:$A$501,"=552",'ANALITIKA EU PROJEKATA'!$Q$3:$Q$501,"=44")</f>
        <v>0</v>
      </c>
      <c r="M104" s="140">
        <f>SUMIFS('Plan rashoda za unos u SAP'!$K$3:$K$501,'Plan rashoda za unos u SAP'!$C$3:$C$501,"=559",'Plan rashoda za unos u SAP'!$N$3:$N$501,"=44")+SUMIFS('ANALITIKA EU PROJEKATA'!$I$3:$I$501,'ANALITIKA EU PROJEKATA'!$A$3:$A$501,"=559",'ANALITIKA EU PROJEKATA'!$Q$3:$Q$501,"=44")</f>
        <v>0</v>
      </c>
      <c r="N104" s="140">
        <f>SUMIFS('Plan rashoda za unos u SAP'!$K$3:$K$501,'Plan rashoda za unos u SAP'!$C$3:$C$501,"=561",'Plan rashoda za unos u SAP'!$N$3:$N$501,"=44")+SUMIFS('ANALITIKA EU PROJEKATA'!$I$3:$I$501,'ANALITIKA EU PROJEKATA'!$A$3:$A$501,"=561",'ANALITIKA EU PROJEKATA'!$Q$3:$Q$501,"=44")</f>
        <v>0</v>
      </c>
      <c r="O104" s="140">
        <f>SUMIFS('Plan rashoda za unos u SAP'!$K$3:$K$501,'Plan rashoda za unos u SAP'!$C$3:$C$501,"=563",'Plan rashoda za unos u SAP'!$N$3:$N$501,"=44")+SUMIFS('ANALITIKA EU PROJEKATA'!$I$3:$I$501,'ANALITIKA EU PROJEKATA'!$A$3:$A$501,"=563",'ANALITIKA EU PROJEKATA'!$Q$3:$Q$501,"=44")</f>
        <v>0</v>
      </c>
      <c r="P104" s="140">
        <f>SUMIFS('Plan rashoda za unos u SAP'!$K$3:$K$501,'Plan rashoda za unos u SAP'!$C$3:$C$501,"=573",'Plan rashoda za unos u SAP'!$N$3:$N$501,"=44")+SUMIFS('ANALITIKA EU PROJEKATA'!$I$3:$I$501,'ANALITIKA EU PROJEKATA'!$A$3:$A$501,"=573",'ANALITIKA EU PROJEKATA'!$Q$3:$Q$501,"=44")</f>
        <v>0</v>
      </c>
      <c r="Q104" s="140">
        <f>SUMIFS('Plan rashoda za unos u SAP'!$K$3:$K$501,'Plan rashoda za unos u SAP'!$C$3:$C$501,"=575",'Plan rashoda za unos u SAP'!$N$3:$N$501,"=44")+SUMIFS('ANALITIKA EU PROJEKATA'!$I$3:$I$501,'ANALITIKA EU PROJEKATA'!$A$3:$A$501,"=575",'ANALITIKA EU PROJEKATA'!$Q$3:$Q$501,"=44")</f>
        <v>0</v>
      </c>
      <c r="R104" s="140">
        <f>SUMIFS('Plan rashoda za unos u SAP'!$K$3:$K$501,'Plan rashoda za unos u SAP'!$C$3:$C$501,"=576",'Plan rashoda za unos u SAP'!$N$3:$N$501,"=44")+SUMIFS('ANALITIKA EU PROJEKATA'!$I$3:$I$501,'ANALITIKA EU PROJEKATA'!$A$3:$A$501,"=576",'ANALITIKA EU PROJEKATA'!$Q$3:$Q$501,"=44")</f>
        <v>0</v>
      </c>
      <c r="S104" s="140">
        <f>SUMIFS('Plan rashoda za unos u SAP'!$K$3:$K$501,'Plan rashoda za unos u SAP'!$C$3:$C$501,"=61",'Plan rashoda za unos u SAP'!$N$3:$N$501,"=44")+SUMIFS('ANALITIKA EU PROJEKATA'!$I$3:$I$501,'ANALITIKA EU PROJEKATA'!$A$3:$A$501,"=61",'ANALITIKA EU PROJEKATA'!$Q$3:$Q$501,"=44")</f>
        <v>0</v>
      </c>
      <c r="T104" s="140">
        <f>SUMIFS('Plan rashoda za unos u SAP'!$K$3:$K$501,'Plan rashoda za unos u SAP'!$C$3:$C$501,"=63",'Plan rashoda za unos u SAP'!$N$3:$N$501,"=44")+SUMIFS('ANALITIKA EU PROJEKATA'!$I$3:$I$501,'ANALITIKA EU PROJEKATA'!$A$3:$A$501,"=63",'ANALITIKA EU PROJEKATA'!$Q$3:$Q$501,"=44")</f>
        <v>0</v>
      </c>
      <c r="U104" s="140">
        <f>SUMIFS('Plan rashoda za unos u SAP'!$K$3:$K$501,'Plan rashoda za unos u SAP'!$C$3:$C$501,"=71",'Plan rashoda za unos u SAP'!$N$3:$N$501,"=44")+SUMIFS('ANALITIKA EU PROJEKATA'!$I$3:$I$501,'ANALITIKA EU PROJEKATA'!$A$3:$A$501,"=71",'ANALITIKA EU PROJEKATA'!$Q$3:$Q$501,"=44")</f>
        <v>0</v>
      </c>
      <c r="V104" s="140">
        <f>SUMIFS('Plan rashoda za unos u SAP'!$K$3:$K$501,'Plan rashoda za unos u SAP'!$C$3:$C$501,"=81",'Plan rashoda za unos u SAP'!$N$3:$N$501,"=44")+SUMIFS('ANALITIKA EU PROJEKATA'!$I$3:$I$501,'ANALITIKA EU PROJEKATA'!$A$3:$A$501,"=81",'ANALITIKA EU PROJEKATA'!$Q$3:$Q$501,"=44")</f>
        <v>0</v>
      </c>
      <c r="W104" s="140">
        <f>SUMIFS('Plan rashoda za unos u SAP'!$K$3:$K$501,'Plan rashoda za unos u SAP'!$C$3:$C$501,"=83",'Plan rashoda za unos u SAP'!$N$3:$N$501,"=44")+SUMIFS('ANALITIKA EU PROJEKATA'!$I$3:$I$501,'ANALITIKA EU PROJEKATA'!$A$3:$A$501,"=83",'ANALITIKA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222</v>
      </c>
      <c r="D105" s="133">
        <f t="shared" si="26"/>
        <v>0</v>
      </c>
      <c r="E105" s="140">
        <f>SUMIFS('Plan rashoda za unos u SAP'!$K$3:$K$501,'Plan rashoda za unos u SAP'!$C$3:$C$501,"=11",'Plan rashoda za unos u SAP'!$N$3:$N$501,"=45")+SUMIFS('ANALITIKA EU PROJEKATA'!$I$3:$I$501,'ANALITIKA EU PROJEKATA'!$A$3:$A$501,"=11",'ANALITIKA EU PROJEKATA'!$Q$3:$Q$501,"=45")</f>
        <v>0</v>
      </c>
      <c r="F105" s="140">
        <f>SUMIFS('Plan rashoda za unos u SAP'!$K$3:$K$501,'Plan rashoda za unos u SAP'!$C$3:$C$501,"=12",'Plan rashoda za unos u SAP'!$N$3:$N$501,"=45")+SUMIFS('ANALITIKA EU PROJEKATA'!$I$3:$I$501,'ANALITIKA EU PROJEKATA'!$A$3:$A$501,"=12",'ANALITIKA EU PROJEKATA'!$Q$3:$Q$501,"=45")</f>
        <v>0</v>
      </c>
      <c r="G105" s="140">
        <f>SUMIFS('Plan rashoda za unos u SAP'!$K$3:$K$501,'Plan rashoda za unos u SAP'!$C$3:$C$501,"=31",'Plan rashoda za unos u SAP'!$N$3:$N$501,"=45")+SUMIFS('ANALITIKA EU PROJEKATA'!$I$3:$I$501,'ANALITIKA EU PROJEKATA'!$A$3:$A$501,"=31",'ANALITIKA EU PROJEKATA'!$Q$3:$Q$501,"=45")</f>
        <v>0</v>
      </c>
      <c r="H105" s="140">
        <f>SUMIFS('Plan rashoda za unos u SAP'!$K$3:$K$501,'Plan rashoda za unos u SAP'!$C$3:$C$501,"=41",'Plan rashoda za unos u SAP'!$N$3:$N$501,"=45")+SUMIFS('ANALITIKA EU PROJEKATA'!$I$3:$I$501,'ANALITIKA EU PROJEKATA'!$A$3:$A$501,"=41",'ANALITIKA EU PROJEKATA'!$Q$3:$Q$501,"=45")</f>
        <v>0</v>
      </c>
      <c r="I105" s="140">
        <f>SUMIFS('Plan rashoda za unos u SAP'!$K$3:$K$501,'Plan rashoda za unos u SAP'!$C$3:$C$501,"=43",'Plan rashoda za unos u SAP'!$N$3:$N$501,"=45")+SUMIFS('ANALITIKA EU PROJEKATA'!$I$3:$I$501,'ANALITIKA EU PROJEKATA'!$A$3:$A$501,"=43",'ANALITIKA EU PROJEKATA'!$Q$3:$Q$501,"=45")</f>
        <v>0</v>
      </c>
      <c r="J105" s="140">
        <f>SUMIFS('Plan rashoda za unos u SAP'!$K$3:$K$501,'Plan rashoda za unos u SAP'!$C$3:$C$501,"=51",'Plan rashoda za unos u SAP'!$N$3:$N$501,"=45")+SUMIFS('ANALITIKA EU PROJEKATA'!$I$3:$I$501,'ANALITIKA EU PROJEKATA'!$A$3:$A$501,"=51",'ANALITIKA EU PROJEKATA'!$Q$3:$Q$501,"=45")</f>
        <v>0</v>
      </c>
      <c r="K105" s="140">
        <f>SUMIFS('Plan rashoda za unos u SAP'!$K$3:$K$501,'Plan rashoda za unos u SAP'!$C$3:$C$501,"=52",'Plan rashoda za unos u SAP'!$N$3:$N$501,"=45")+SUMIFS('ANALITIKA EU PROJEKATA'!$I$3:$I$501,'ANALITIKA EU PROJEKATA'!$A$3:$A$501,"=52",'ANALITIKA EU PROJEKATA'!$Q$3:$Q$501,"=45")</f>
        <v>0</v>
      </c>
      <c r="L105" s="140">
        <f>SUMIFS('Plan rashoda za unos u SAP'!$K$3:$K$501,'Plan rashoda za unos u SAP'!$C$3:$C$501,"=552",'Plan rashoda za unos u SAP'!$N$3:$N$501,"=45")+SUMIFS('ANALITIKA EU PROJEKATA'!$I$3:$I$501,'ANALITIKA EU PROJEKATA'!$A$3:$A$501,"=552",'ANALITIKA EU PROJEKATA'!$Q$3:$Q$501,"=45")</f>
        <v>0</v>
      </c>
      <c r="M105" s="140">
        <f>SUMIFS('Plan rashoda za unos u SAP'!$K$3:$K$501,'Plan rashoda za unos u SAP'!$C$3:$C$501,"=559",'Plan rashoda za unos u SAP'!$N$3:$N$501,"=45")+SUMIFS('ANALITIKA EU PROJEKATA'!$I$3:$I$501,'ANALITIKA EU PROJEKATA'!$A$3:$A$501,"=559",'ANALITIKA EU PROJEKATA'!$Q$3:$Q$501,"=45")</f>
        <v>0</v>
      </c>
      <c r="N105" s="140">
        <f>SUMIFS('Plan rashoda za unos u SAP'!$K$3:$K$501,'Plan rashoda za unos u SAP'!$C$3:$C$501,"=561",'Plan rashoda za unos u SAP'!$N$3:$N$501,"=45")+SUMIFS('ANALITIKA EU PROJEKATA'!$I$3:$I$501,'ANALITIKA EU PROJEKATA'!$A$3:$A$501,"=561",'ANALITIKA EU PROJEKATA'!$Q$3:$Q$501,"=45")</f>
        <v>0</v>
      </c>
      <c r="O105" s="140">
        <f>SUMIFS('Plan rashoda za unos u SAP'!$K$3:$K$501,'Plan rashoda za unos u SAP'!$C$3:$C$501,"=563",'Plan rashoda za unos u SAP'!$N$3:$N$501,"=45")+SUMIFS('ANALITIKA EU PROJEKATA'!$I$3:$I$501,'ANALITIKA EU PROJEKATA'!$A$3:$A$501,"=563",'ANALITIKA EU PROJEKATA'!$Q$3:$Q$501,"=45")</f>
        <v>0</v>
      </c>
      <c r="P105" s="140">
        <f>SUMIFS('Plan rashoda za unos u SAP'!$K$3:$K$501,'Plan rashoda za unos u SAP'!$C$3:$C$501,"=573",'Plan rashoda za unos u SAP'!$N$3:$N$501,"=45")+SUMIFS('ANALITIKA EU PROJEKATA'!$I$3:$I$501,'ANALITIKA EU PROJEKATA'!$A$3:$A$501,"=573",'ANALITIKA EU PROJEKATA'!$Q$3:$Q$501,"=45")</f>
        <v>0</v>
      </c>
      <c r="Q105" s="140">
        <f>SUMIFS('Plan rashoda za unos u SAP'!$K$3:$K$501,'Plan rashoda za unos u SAP'!$C$3:$C$501,"=575",'Plan rashoda za unos u SAP'!$N$3:$N$501,"=45")+SUMIFS('ANALITIKA EU PROJEKATA'!$I$3:$I$501,'ANALITIKA EU PROJEKATA'!$A$3:$A$501,"=575",'ANALITIKA EU PROJEKATA'!$Q$3:$Q$501,"=45")</f>
        <v>0</v>
      </c>
      <c r="R105" s="140">
        <f>SUMIFS('Plan rashoda za unos u SAP'!$K$3:$K$501,'Plan rashoda za unos u SAP'!$C$3:$C$501,"=576",'Plan rashoda za unos u SAP'!$N$3:$N$501,"=45")+SUMIFS('ANALITIKA EU PROJEKATA'!$I$3:$I$501,'ANALITIKA EU PROJEKATA'!$A$3:$A$501,"=576",'ANALITIKA EU PROJEKATA'!$Q$3:$Q$501,"=45")</f>
        <v>0</v>
      </c>
      <c r="S105" s="140">
        <f>SUMIFS('Plan rashoda za unos u SAP'!$K$3:$K$501,'Plan rashoda za unos u SAP'!$C$3:$C$501,"=61",'Plan rashoda za unos u SAP'!$N$3:$N$501,"=45")+SUMIFS('ANALITIKA EU PROJEKATA'!$I$3:$I$501,'ANALITIKA EU PROJEKATA'!$A$3:$A$501,"=61",'ANALITIKA EU PROJEKATA'!$Q$3:$Q$501,"=45")</f>
        <v>0</v>
      </c>
      <c r="T105" s="140">
        <f>SUMIFS('Plan rashoda za unos u SAP'!$K$3:$K$501,'Plan rashoda za unos u SAP'!$C$3:$C$501,"=63",'Plan rashoda za unos u SAP'!$N$3:$N$501,"=45")+SUMIFS('ANALITIKA EU PROJEKATA'!$I$3:$I$501,'ANALITIKA EU PROJEKATA'!$A$3:$A$501,"=63",'ANALITIKA EU PROJEKATA'!$Q$3:$Q$501,"=45")</f>
        <v>0</v>
      </c>
      <c r="U105" s="140">
        <f>SUMIFS('Plan rashoda za unos u SAP'!$K$3:$K$501,'Plan rashoda za unos u SAP'!$C$3:$C$501,"=71",'Plan rashoda za unos u SAP'!$N$3:$N$501,"=45")+SUMIFS('ANALITIKA EU PROJEKATA'!$I$3:$I$501,'ANALITIKA EU PROJEKATA'!$A$3:$A$501,"=71",'ANALITIKA EU PROJEKATA'!$Q$3:$Q$501,"=45")</f>
        <v>0</v>
      </c>
      <c r="V105" s="140">
        <f>SUMIFS('Plan rashoda za unos u SAP'!$K$3:$K$501,'Plan rashoda za unos u SAP'!$C$3:$C$501,"=81",'Plan rashoda za unos u SAP'!$N$3:$N$501,"=45")+SUMIFS('ANALITIKA EU PROJEKATA'!$I$3:$I$501,'ANALITIKA EU PROJEKATA'!$A$3:$A$501,"=81",'ANALITIKA EU PROJEKATA'!$Q$3:$Q$501,"=45")</f>
        <v>0</v>
      </c>
      <c r="W105" s="140">
        <f>SUMIFS('Plan rashoda za unos u SAP'!$K$3:$K$501,'Plan rashoda za unos u SAP'!$C$3:$C$501,"=83",'Plan rashoda za unos u SAP'!$N$3:$N$501,"=45")+SUMIFS('ANALITIKA EU PROJEKATA'!$I$3:$I$501,'ANALITIKA EU PROJEKATA'!$A$3:$A$501,"=83",'ANALITIKA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6"/>
        <v>0</v>
      </c>
      <c r="E106" s="125">
        <f t="shared" ref="E106:G106" si="35">SUM(E107:E108)</f>
        <v>0</v>
      </c>
      <c r="F106" s="125">
        <f t="shared" si="35"/>
        <v>0</v>
      </c>
      <c r="G106" s="125">
        <f t="shared" si="35"/>
        <v>0</v>
      </c>
      <c r="H106" s="125">
        <f>SUM(H107:H108)</f>
        <v>0</v>
      </c>
      <c r="I106" s="125">
        <f t="shared" ref="I106:K106" si="36">SUM(I107:I108)</f>
        <v>0</v>
      </c>
      <c r="J106" s="125">
        <f t="shared" si="36"/>
        <v>0</v>
      </c>
      <c r="K106" s="125">
        <f t="shared" si="36"/>
        <v>0</v>
      </c>
      <c r="L106" s="125">
        <f>SUM(L107:L108)</f>
        <v>0</v>
      </c>
      <c r="M106" s="125">
        <f t="shared" ref="M106:O106" si="37">SUM(M107:M108)</f>
        <v>0</v>
      </c>
      <c r="N106" s="125">
        <f t="shared" si="37"/>
        <v>0</v>
      </c>
      <c r="O106" s="125">
        <f t="shared" si="37"/>
        <v>0</v>
      </c>
      <c r="P106" s="125">
        <f>SUM(P107:P108)</f>
        <v>0</v>
      </c>
      <c r="Q106" s="125">
        <f>SUM(Q107:Q108)</f>
        <v>0</v>
      </c>
      <c r="R106" s="125">
        <f>SUM(R107:R108)</f>
        <v>0</v>
      </c>
      <c r="S106" s="125">
        <f t="shared" ref="S106:V106" si="38">SUM(S107:S108)</f>
        <v>0</v>
      </c>
      <c r="T106" s="125">
        <f t="shared" si="38"/>
        <v>0</v>
      </c>
      <c r="U106" s="125">
        <f t="shared" si="38"/>
        <v>0</v>
      </c>
      <c r="V106" s="125">
        <f t="shared" si="38"/>
        <v>0</v>
      </c>
      <c r="W106" s="125">
        <f>SUM(W107:W108)</f>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357</v>
      </c>
      <c r="D107" s="78">
        <f t="shared" si="26"/>
        <v>0</v>
      </c>
      <c r="E107" s="140">
        <f>SUMIFS('Plan rashoda za unos u SAP'!$K$3:$K$501,'Plan rashoda za unos u SAP'!$C$3:$C$501,"=11",'Plan rashoda za unos u SAP'!$N$3:$N$501,"=51")+SUMIFS('ANALITIKA EU PROJEKATA'!$I$3:$I$501,'ANALITIKA EU PROJEKATA'!$A$3:$A$501,"=11",'ANALITIKA EU PROJEKATA'!$Q$3:$Q$501,"=51")</f>
        <v>0</v>
      </c>
      <c r="F107" s="140">
        <f>SUMIFS('Plan rashoda za unos u SAP'!$K$3:$K$501,'Plan rashoda za unos u SAP'!$C$3:$C$501,"=12",'Plan rashoda za unos u SAP'!$N$3:$N$501,"=51")+SUMIFS('ANALITIKA EU PROJEKATA'!$I$3:$I$501,'ANALITIKA EU PROJEKATA'!$A$3:$A$501,"=12",'ANALITIKA EU PROJEKATA'!$Q$3:$Q$501,"=51")</f>
        <v>0</v>
      </c>
      <c r="G107" s="140">
        <f>SUMIFS('Plan rashoda za unos u SAP'!$K$3:$K$501,'Plan rashoda za unos u SAP'!$C$3:$C$501,"=31",'Plan rashoda za unos u SAP'!$N$3:$N$501,"=51")+SUMIFS('ANALITIKA EU PROJEKATA'!$I$3:$I$501,'ANALITIKA EU PROJEKATA'!$A$3:$A$501,"=31",'ANALITIKA EU PROJEKATA'!$Q$3:$Q$501,"=51")</f>
        <v>0</v>
      </c>
      <c r="H107" s="140">
        <f>SUMIFS('Plan rashoda za unos u SAP'!$K$3:$K$501,'Plan rashoda za unos u SAP'!$C$3:$C$501,"=41",'Plan rashoda za unos u SAP'!$N$3:$N$501,"=51")+SUMIFS('ANALITIKA EU PROJEKATA'!$I$3:$I$501,'ANALITIKA EU PROJEKATA'!$A$3:$A$501,"=41",'ANALITIKA EU PROJEKATA'!$Q$3:$Q$501,"=51")</f>
        <v>0</v>
      </c>
      <c r="I107" s="140">
        <f>SUMIFS('Plan rashoda za unos u SAP'!$K$3:$K$501,'Plan rashoda za unos u SAP'!$C$3:$C$501,"=43",'Plan rashoda za unos u SAP'!$N$3:$N$501,"=51")+SUMIFS('ANALITIKA EU PROJEKATA'!$I$3:$I$501,'ANALITIKA EU PROJEKATA'!$A$3:$A$501,"=43",'ANALITIKA EU PROJEKATA'!$Q$3:$Q$501,"=51")</f>
        <v>0</v>
      </c>
      <c r="J107" s="140">
        <f>SUMIFS('Plan rashoda za unos u SAP'!$K$3:$K$501,'Plan rashoda za unos u SAP'!$C$3:$C$501,"=51",'Plan rashoda za unos u SAP'!$N$3:$N$501,"=51")+SUMIFS('ANALITIKA EU PROJEKATA'!$I$3:$I$501,'ANALITIKA EU PROJEKATA'!$A$3:$A$501,"=51",'ANALITIKA EU PROJEKATA'!$Q$3:$Q$501,"=51")</f>
        <v>0</v>
      </c>
      <c r="K107" s="140">
        <f>SUMIFS('Plan rashoda za unos u SAP'!$K$3:$K$501,'Plan rashoda za unos u SAP'!$C$3:$C$501,"=52",'Plan rashoda za unos u SAP'!$N$3:$N$501,"=51")+SUMIFS('ANALITIKA EU PROJEKATA'!$I$3:$I$501,'ANALITIKA EU PROJEKATA'!$A$3:$A$501,"=52",'ANALITIKA EU PROJEKATA'!$Q$3:$Q$501,"=51")</f>
        <v>0</v>
      </c>
      <c r="L107" s="140">
        <f>SUMIFS('Plan rashoda za unos u SAP'!$K$3:$K$501,'Plan rashoda za unos u SAP'!$C$3:$C$501,"=552",'Plan rashoda za unos u SAP'!$N$3:$N$501,"=51")+SUMIFS('ANALITIKA EU PROJEKATA'!$I$3:$I$501,'ANALITIKA EU PROJEKATA'!$A$3:$A$501,"=552",'ANALITIKA EU PROJEKATA'!$Q$3:$Q$501,"=51")</f>
        <v>0</v>
      </c>
      <c r="M107" s="140">
        <f>SUMIFS('Plan rashoda za unos u SAP'!$K$3:$K$501,'Plan rashoda za unos u SAP'!$C$3:$C$501,"=559",'Plan rashoda za unos u SAP'!$N$3:$N$501,"=51")+SUMIFS('ANALITIKA EU PROJEKATA'!$I$3:$I$501,'ANALITIKA EU PROJEKATA'!$A$3:$A$501,"=559",'ANALITIKA EU PROJEKATA'!$Q$3:$Q$501,"=51")</f>
        <v>0</v>
      </c>
      <c r="N107" s="140">
        <f>SUMIFS('Plan rashoda za unos u SAP'!$K$3:$K$501,'Plan rashoda za unos u SAP'!$C$3:$C$501,"=561",'Plan rashoda za unos u SAP'!$N$3:$N$501,"=51")+SUMIFS('ANALITIKA EU PROJEKATA'!$I$3:$I$501,'ANALITIKA EU PROJEKATA'!$A$3:$A$501,"=561",'ANALITIKA EU PROJEKATA'!$Q$3:$Q$501,"=51")</f>
        <v>0</v>
      </c>
      <c r="O107" s="140">
        <f>SUMIFS('Plan rashoda za unos u SAP'!$K$3:$K$501,'Plan rashoda za unos u SAP'!$C$3:$C$501,"=563",'Plan rashoda za unos u SAP'!$N$3:$N$501,"=51")+SUMIFS('ANALITIKA EU PROJEKATA'!$I$3:$I$501,'ANALITIKA EU PROJEKATA'!$A$3:$A$501,"=563",'ANALITIKA EU PROJEKATA'!$Q$3:$Q$501,"=51")</f>
        <v>0</v>
      </c>
      <c r="P107" s="140">
        <f>SUMIFS('Plan rashoda za unos u SAP'!$K$3:$K$501,'Plan rashoda za unos u SAP'!$C$3:$C$501,"=573",'Plan rashoda za unos u SAP'!$N$3:$N$501,"=51")+SUMIFS('ANALITIKA EU PROJEKATA'!$I$3:$I$501,'ANALITIKA EU PROJEKATA'!$A$3:$A$501,"=573",'ANALITIKA EU PROJEKATA'!$Q$3:$Q$501,"=51")</f>
        <v>0</v>
      </c>
      <c r="Q107" s="140">
        <f>SUMIFS('Plan rashoda za unos u SAP'!$K$3:$K$501,'Plan rashoda za unos u SAP'!$C$3:$C$501,"=575",'Plan rashoda za unos u SAP'!$N$3:$N$501,"=51")+SUMIFS('ANALITIKA EU PROJEKATA'!$I$3:$I$501,'ANALITIKA EU PROJEKATA'!$A$3:$A$501,"=575",'ANALITIKA EU PROJEKATA'!$Q$3:$Q$501,"=51")</f>
        <v>0</v>
      </c>
      <c r="R107" s="140">
        <f>SUMIFS('Plan rashoda za unos u SAP'!$K$3:$K$501,'Plan rashoda za unos u SAP'!$C$3:$C$501,"=576",'Plan rashoda za unos u SAP'!$N$3:$N$501,"=51")+SUMIFS('ANALITIKA EU PROJEKATA'!$I$3:$I$501,'ANALITIKA EU PROJEKATA'!$A$3:$A$501,"=576",'ANALITIKA EU PROJEKATA'!$Q$3:$Q$501,"=51")</f>
        <v>0</v>
      </c>
      <c r="S107" s="140">
        <f>SUMIFS('Plan rashoda za unos u SAP'!$K$3:$K$501,'Plan rashoda za unos u SAP'!$C$3:$C$501,"=61",'Plan rashoda za unos u SAP'!$N$3:$N$501,"=51")+SUMIFS('ANALITIKA EU PROJEKATA'!$I$3:$I$501,'ANALITIKA EU PROJEKATA'!$A$3:$A$501,"=61",'ANALITIKA EU PROJEKATA'!$Q$3:$Q$501,"=51")</f>
        <v>0</v>
      </c>
      <c r="T107" s="140">
        <f>SUMIFS('Plan rashoda za unos u SAP'!$K$3:$K$501,'Plan rashoda za unos u SAP'!$C$3:$C$501,"=63",'Plan rashoda za unos u SAP'!$N$3:$N$501,"=51")+SUMIFS('ANALITIKA EU PROJEKATA'!$I$3:$I$501,'ANALITIKA EU PROJEKATA'!$A$3:$A$501,"=63",'ANALITIKA EU PROJEKATA'!$Q$3:$Q$501,"=51")</f>
        <v>0</v>
      </c>
      <c r="U107" s="140">
        <f>SUMIFS('Plan rashoda za unos u SAP'!$K$3:$K$501,'Plan rashoda za unos u SAP'!$C$3:$C$501,"=71",'Plan rashoda za unos u SAP'!$N$3:$N$501,"=51")+SUMIFS('ANALITIKA EU PROJEKATA'!$I$3:$I$501,'ANALITIKA EU PROJEKATA'!$A$3:$A$501,"=71",'ANALITIKA EU PROJEKATA'!$Q$3:$Q$501,"=51")</f>
        <v>0</v>
      </c>
      <c r="V107" s="140">
        <f>SUMIFS('Plan rashoda za unos u SAP'!$K$3:$K$501,'Plan rashoda za unos u SAP'!$C$3:$C$501,"=81",'Plan rashoda za unos u SAP'!$N$3:$N$501,"=51")+SUMIFS('ANALITIKA EU PROJEKATA'!$I$3:$I$501,'ANALITIKA EU PROJEKATA'!$A$3:$A$501,"=81",'ANALITIKA EU PROJEKATA'!$Q$3:$Q$501,"=51")</f>
        <v>0</v>
      </c>
      <c r="W107" s="140">
        <f>SUMIFS('Plan rashoda za unos u SAP'!$K$3:$K$501,'Plan rashoda za unos u SAP'!$C$3:$C$501,"=83",'Plan rashoda za unos u SAP'!$N$3:$N$501,"=51")+SUMIFS('ANALITIKA EU PROJEKATA'!$I$3:$I$501,'ANALITIKA EU PROJEKATA'!$A$3:$A$501,"=83",'ANALITIKA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358</v>
      </c>
      <c r="D108" s="78">
        <f t="shared" si="26"/>
        <v>0</v>
      </c>
      <c r="E108" s="140">
        <f>SUMIFS('Plan rashoda za unos u SAP'!$K$3:$K$501,'Plan rashoda za unos u SAP'!$C$3:$C$501,"=11",'Plan rashoda za unos u SAP'!$N$3:$N$501,"=54")+SUMIFS('ANALITIKA EU PROJEKATA'!$I$3:$I$501,'ANALITIKA EU PROJEKATA'!$A$3:$A$501,"=11",'ANALITIKA EU PROJEKATA'!$Q$3:$Q$501,"=54")</f>
        <v>0</v>
      </c>
      <c r="F108" s="140">
        <f>SUMIFS('Plan rashoda za unos u SAP'!$K$3:$K$501,'Plan rashoda za unos u SAP'!$C$3:$C$501,"=12",'Plan rashoda za unos u SAP'!$N$3:$N$501,"=54")+SUMIFS('ANALITIKA EU PROJEKATA'!$I$3:$I$501,'ANALITIKA EU PROJEKATA'!$A$3:$A$501,"=12",'ANALITIKA EU PROJEKATA'!$Q$3:$Q$501,"=54")</f>
        <v>0</v>
      </c>
      <c r="G108" s="140">
        <f>SUMIFS('Plan rashoda za unos u SAP'!$K$3:$K$501,'Plan rashoda za unos u SAP'!$C$3:$C$501,"=31",'Plan rashoda za unos u SAP'!$N$3:$N$501,"=54")+SUMIFS('ANALITIKA EU PROJEKATA'!$I$3:$I$501,'ANALITIKA EU PROJEKATA'!$A$3:$A$501,"=31",'ANALITIKA EU PROJEKATA'!$Q$3:$Q$501,"=54")</f>
        <v>0</v>
      </c>
      <c r="H108" s="140">
        <f>SUMIFS('Plan rashoda za unos u SAP'!$K$3:$K$501,'Plan rashoda za unos u SAP'!$C$3:$C$501,"=41",'Plan rashoda za unos u SAP'!$N$3:$N$501,"=54")+SUMIFS('ANALITIKA EU PROJEKATA'!$I$3:$I$501,'ANALITIKA EU PROJEKATA'!$A$3:$A$501,"=41",'ANALITIKA EU PROJEKATA'!$Q$3:$Q$501,"=54")</f>
        <v>0</v>
      </c>
      <c r="I108" s="140">
        <f>SUMIFS('Plan rashoda za unos u SAP'!$K$3:$K$501,'Plan rashoda za unos u SAP'!$C$3:$C$501,"=43",'Plan rashoda za unos u SAP'!$N$3:$N$501,"=54")+SUMIFS('ANALITIKA EU PROJEKATA'!$I$3:$I$501,'ANALITIKA EU PROJEKATA'!$A$3:$A$501,"=43",'ANALITIKA EU PROJEKATA'!$Q$3:$Q$501,"=54")</f>
        <v>0</v>
      </c>
      <c r="J108" s="140">
        <f>SUMIFS('Plan rashoda za unos u SAP'!$K$3:$K$501,'Plan rashoda za unos u SAP'!$C$3:$C$501,"=51",'Plan rashoda za unos u SAP'!$N$3:$N$501,"=54")+SUMIFS('ANALITIKA EU PROJEKATA'!$I$3:$I$501,'ANALITIKA EU PROJEKATA'!$A$3:$A$501,"=51",'ANALITIKA EU PROJEKATA'!$Q$3:$Q$501,"=54")</f>
        <v>0</v>
      </c>
      <c r="K108" s="140">
        <f>SUMIFS('Plan rashoda za unos u SAP'!$K$3:$K$501,'Plan rashoda za unos u SAP'!$C$3:$C$501,"=52",'Plan rashoda za unos u SAP'!$N$3:$N$501,"=54")+SUMIFS('ANALITIKA EU PROJEKATA'!$I$3:$I$501,'ANALITIKA EU PROJEKATA'!$A$3:$A$501,"=52",'ANALITIKA EU PROJEKATA'!$Q$3:$Q$501,"=54")</f>
        <v>0</v>
      </c>
      <c r="L108" s="140">
        <f>SUMIFS('Plan rashoda za unos u SAP'!$K$3:$K$501,'Plan rashoda za unos u SAP'!$C$3:$C$501,"=552",'Plan rashoda za unos u SAP'!$N$3:$N$501,"=54")+SUMIFS('ANALITIKA EU PROJEKATA'!$I$3:$I$501,'ANALITIKA EU PROJEKATA'!$A$3:$A$501,"=552",'ANALITIKA EU PROJEKATA'!$Q$3:$Q$501,"=54")</f>
        <v>0</v>
      </c>
      <c r="M108" s="140">
        <f>SUMIFS('Plan rashoda za unos u SAP'!$K$3:$K$501,'Plan rashoda za unos u SAP'!$C$3:$C$501,"=559",'Plan rashoda za unos u SAP'!$N$3:$N$501,"=54")+SUMIFS('ANALITIKA EU PROJEKATA'!$I$3:$I$501,'ANALITIKA EU PROJEKATA'!$A$3:$A$501,"=559",'ANALITIKA EU PROJEKATA'!$Q$3:$Q$501,"=54")</f>
        <v>0</v>
      </c>
      <c r="N108" s="140">
        <f>SUMIFS('Plan rashoda za unos u SAP'!$K$3:$K$501,'Plan rashoda za unos u SAP'!$C$3:$C$501,"=561",'Plan rashoda za unos u SAP'!$N$3:$N$501,"=54")+SUMIFS('ANALITIKA EU PROJEKATA'!$I$3:$I$501,'ANALITIKA EU PROJEKATA'!$A$3:$A$501,"=561",'ANALITIKA EU PROJEKATA'!$Q$3:$Q$501,"=54")</f>
        <v>0</v>
      </c>
      <c r="O108" s="140">
        <f>SUMIFS('Plan rashoda za unos u SAP'!$K$3:$K$501,'Plan rashoda za unos u SAP'!$C$3:$C$501,"=563",'Plan rashoda za unos u SAP'!$N$3:$N$501,"=54")+SUMIFS('ANALITIKA EU PROJEKATA'!$I$3:$I$501,'ANALITIKA EU PROJEKATA'!$A$3:$A$501,"=563",'ANALITIKA EU PROJEKATA'!$Q$3:$Q$501,"=54")</f>
        <v>0</v>
      </c>
      <c r="P108" s="140">
        <f>SUMIFS('Plan rashoda za unos u SAP'!$K$3:$K$501,'Plan rashoda za unos u SAP'!$C$3:$C$501,"=573",'Plan rashoda za unos u SAP'!$N$3:$N$501,"=54")+SUMIFS('ANALITIKA EU PROJEKATA'!$I$3:$I$501,'ANALITIKA EU PROJEKATA'!$A$3:$A$501,"=573",'ANALITIKA EU PROJEKATA'!$Q$3:$Q$501,"=54")</f>
        <v>0</v>
      </c>
      <c r="Q108" s="140">
        <f>SUMIFS('Plan rashoda za unos u SAP'!$K$3:$K$501,'Plan rashoda za unos u SAP'!$C$3:$C$501,"=575",'Plan rashoda za unos u SAP'!$N$3:$N$501,"=54")+SUMIFS('ANALITIKA EU PROJEKATA'!$I$3:$I$501,'ANALITIKA EU PROJEKATA'!$A$3:$A$501,"=575",'ANALITIKA EU PROJEKATA'!$Q$3:$Q$501,"=54")</f>
        <v>0</v>
      </c>
      <c r="R108" s="140">
        <f>SUMIFS('Plan rashoda za unos u SAP'!$K$3:$K$501,'Plan rashoda za unos u SAP'!$C$3:$C$501,"=576",'Plan rashoda za unos u SAP'!$N$3:$N$501,"=54")+SUMIFS('ANALITIKA EU PROJEKATA'!$I$3:$I$501,'ANALITIKA EU PROJEKATA'!$A$3:$A$501,"=576",'ANALITIKA EU PROJEKATA'!$Q$3:$Q$501,"=54")</f>
        <v>0</v>
      </c>
      <c r="S108" s="140">
        <f>SUMIFS('Plan rashoda za unos u SAP'!$K$3:$K$501,'Plan rashoda za unos u SAP'!$C$3:$C$501,"=61",'Plan rashoda za unos u SAP'!$N$3:$N$501,"=54")+SUMIFS('ANALITIKA EU PROJEKATA'!$I$3:$I$501,'ANALITIKA EU PROJEKATA'!$A$3:$A$501,"=61",'ANALITIKA EU PROJEKATA'!$Q$3:$Q$501,"=54")</f>
        <v>0</v>
      </c>
      <c r="T108" s="140">
        <f>SUMIFS('Plan rashoda za unos u SAP'!$K$3:$K$501,'Plan rashoda za unos u SAP'!$C$3:$C$501,"=63",'Plan rashoda za unos u SAP'!$N$3:$N$501,"=54")+SUMIFS('ANALITIKA EU PROJEKATA'!$I$3:$I$501,'ANALITIKA EU PROJEKATA'!$A$3:$A$501,"=63",'ANALITIKA EU PROJEKATA'!$Q$3:$Q$501,"=54")</f>
        <v>0</v>
      </c>
      <c r="U108" s="140">
        <f>SUMIFS('Plan rashoda za unos u SAP'!$K$3:$K$501,'Plan rashoda za unos u SAP'!$C$3:$C$501,"=71",'Plan rashoda za unos u SAP'!$N$3:$N$501,"=54")+SUMIFS('ANALITIKA EU PROJEKATA'!$I$3:$I$501,'ANALITIKA EU PROJEKATA'!$A$3:$A$501,"=71",'ANALITIKA EU PROJEKATA'!$Q$3:$Q$501,"=54")</f>
        <v>0</v>
      </c>
      <c r="V108" s="140">
        <f>SUMIFS('Plan rashoda za unos u SAP'!$K$3:$K$501,'Plan rashoda za unos u SAP'!$C$3:$C$501,"=81",'Plan rashoda za unos u SAP'!$N$3:$N$501,"=54")+SUMIFS('ANALITIKA EU PROJEKATA'!$I$3:$I$501,'ANALITIKA EU PROJEKATA'!$A$3:$A$501,"=81",'ANALITIKA EU PROJEKATA'!$Q$3:$Q$501,"=54")</f>
        <v>0</v>
      </c>
      <c r="W108" s="140">
        <f>SUMIFS('Plan rashoda za unos u SAP'!$K$3:$K$501,'Plan rashoda za unos u SAP'!$C$3:$C$501,"=83",'Plan rashoda za unos u SAP'!$N$3:$N$501,"=54")+SUMIFS('ANALITIKA EU PROJEKATA'!$I$3:$I$501,'ANALITIKA EU PROJEKATA'!$A$3:$A$501,"=83",'ANALITIKA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password="DE31" sheet="1" objects="1" scenarios="1" selectLockedCells="1" autoFilter="0"/>
  <autoFilter ref="B70:V85"/>
  <mergeCells count="1">
    <mergeCell ref="B1:V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7"/>
  <sheetViews>
    <sheetView workbookViewId="0">
      <selection activeCell="H9" sqref="H9"/>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26" t="s">
        <v>223</v>
      </c>
      <c r="B1" s="26"/>
      <c r="C1" s="26"/>
      <c r="D1" s="26"/>
      <c r="E1" s="26"/>
      <c r="F1" s="26"/>
      <c r="G1" s="26"/>
    </row>
    <row r="2" spans="1:8" ht="15.75">
      <c r="A2" s="26"/>
      <c r="B2" s="26"/>
      <c r="C2" s="26"/>
      <c r="D2" s="26"/>
      <c r="E2" s="26"/>
      <c r="F2" s="26"/>
      <c r="G2" s="26"/>
    </row>
    <row r="3" spans="1:8" ht="15.75">
      <c r="A3" s="26"/>
      <c r="B3" s="26"/>
      <c r="C3" s="26"/>
      <c r="D3" s="26"/>
      <c r="E3" s="26"/>
      <c r="F3" s="26"/>
      <c r="G3" s="26"/>
    </row>
    <row r="5" spans="1:8">
      <c r="A5" s="27" t="s">
        <v>224</v>
      </c>
      <c r="B5" s="28"/>
      <c r="C5" s="28"/>
      <c r="D5" s="28"/>
      <c r="E5" s="28"/>
      <c r="F5" s="28"/>
    </row>
    <row r="6" spans="1:8">
      <c r="A6" s="27"/>
      <c r="B6" s="28"/>
      <c r="C6" s="28"/>
      <c r="D6" s="28"/>
      <c r="E6" s="28"/>
      <c r="F6" s="28"/>
    </row>
    <row r="8" spans="1:8" ht="15.75">
      <c r="A8" s="26" t="s">
        <v>225</v>
      </c>
      <c r="B8" s="26"/>
    </row>
    <row r="9" spans="1:8" ht="15.75" thickBot="1"/>
    <row r="10" spans="1:8" ht="15" customHeight="1">
      <c r="A10" s="331" t="s">
        <v>226</v>
      </c>
      <c r="B10" s="333" t="s">
        <v>227</v>
      </c>
      <c r="C10" s="333" t="s">
        <v>228</v>
      </c>
      <c r="D10" s="336" t="s">
        <v>229</v>
      </c>
      <c r="E10" s="329" t="s">
        <v>2137</v>
      </c>
      <c r="F10" s="329" t="s">
        <v>230</v>
      </c>
      <c r="G10" s="329" t="s">
        <v>791</v>
      </c>
      <c r="H10" s="329" t="s">
        <v>2138</v>
      </c>
    </row>
    <row r="11" spans="1:8" ht="15.75" thickBot="1">
      <c r="A11" s="332"/>
      <c r="B11" s="334"/>
      <c r="C11" s="335"/>
      <c r="D11" s="337"/>
      <c r="E11" s="338"/>
      <c r="F11" s="330"/>
      <c r="G11" s="330"/>
      <c r="H11" s="330"/>
    </row>
    <row r="12" spans="1:8">
      <c r="A12" s="29"/>
      <c r="B12" s="30"/>
      <c r="C12" s="31"/>
      <c r="D12" s="199"/>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75" thickBot="1">
      <c r="A20" s="44"/>
      <c r="B20" s="45"/>
      <c r="C20" s="46"/>
      <c r="D20" s="47"/>
      <c r="E20" s="48"/>
      <c r="F20" s="49"/>
      <c r="G20" s="50"/>
      <c r="H20" s="51"/>
    </row>
    <row r="21" spans="1:23">
      <c r="A21" s="52"/>
      <c r="B21" s="52"/>
      <c r="C21" s="52"/>
      <c r="D21" s="52"/>
      <c r="E21" s="52"/>
      <c r="F21" s="53"/>
      <c r="G21" s="53"/>
      <c r="H21" s="53"/>
    </row>
    <row r="23" spans="1:23" s="52" customFormat="1">
      <c r="A23" s="54" t="s">
        <v>231</v>
      </c>
      <c r="B23" s="55"/>
      <c r="C23" s="56"/>
      <c r="D23" s="56"/>
      <c r="E23" s="56"/>
      <c r="F23" s="56"/>
      <c r="G23" s="57" t="s">
        <v>232</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233</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workbookViewId="0">
      <selection activeCell="C53" sqref="C53"/>
    </sheetView>
  </sheetViews>
  <sheetFormatPr defaultRowHeight="15"/>
  <cols>
    <col min="1" max="1" width="15.85546875" customWidth="1"/>
    <col min="2" max="2" width="113.5703125" customWidth="1"/>
  </cols>
  <sheetData>
    <row r="1" spans="1:2">
      <c r="A1" s="225" t="s">
        <v>1195</v>
      </c>
      <c r="B1" s="226" t="s">
        <v>610</v>
      </c>
    </row>
    <row r="2" spans="1:2" s="206" customFormat="1">
      <c r="A2" s="205" t="s">
        <v>1209</v>
      </c>
      <c r="B2" s="227" t="s">
        <v>1210</v>
      </c>
    </row>
    <row r="3" spans="1:2" hidden="1">
      <c r="A3" s="228" t="s">
        <v>1205</v>
      </c>
      <c r="B3" s="229" t="s">
        <v>1206</v>
      </c>
    </row>
    <row r="4" spans="1:2" hidden="1">
      <c r="A4" s="230" t="s">
        <v>2028</v>
      </c>
      <c r="B4" s="231" t="s">
        <v>2029</v>
      </c>
    </row>
    <row r="5" spans="1:2" hidden="1">
      <c r="A5" s="230" t="s">
        <v>2030</v>
      </c>
      <c r="B5" s="231" t="s">
        <v>2031</v>
      </c>
    </row>
    <row r="6" spans="1:2" hidden="1">
      <c r="A6" s="230" t="s">
        <v>1211</v>
      </c>
      <c r="B6" s="231" t="s">
        <v>1212</v>
      </c>
    </row>
    <row r="7" spans="1:2" hidden="1">
      <c r="A7" s="230" t="s">
        <v>2032</v>
      </c>
      <c r="B7" s="231" t="s">
        <v>2033</v>
      </c>
    </row>
    <row r="8" spans="1:2" hidden="1">
      <c r="A8" s="230" t="s">
        <v>1213</v>
      </c>
      <c r="B8" s="231" t="s">
        <v>1214</v>
      </c>
    </row>
    <row r="9" spans="1:2" hidden="1">
      <c r="A9" s="230" t="s">
        <v>2034</v>
      </c>
      <c r="B9" s="231" t="s">
        <v>2035</v>
      </c>
    </row>
    <row r="10" spans="1:2" hidden="1">
      <c r="A10" s="230" t="s">
        <v>1215</v>
      </c>
      <c r="B10" s="231" t="s">
        <v>1216</v>
      </c>
    </row>
    <row r="11" spans="1:2" hidden="1">
      <c r="A11" s="230" t="s">
        <v>2036</v>
      </c>
      <c r="B11" s="231" t="s">
        <v>2037</v>
      </c>
    </row>
    <row r="12" spans="1:2" hidden="1">
      <c r="A12" s="230" t="s">
        <v>2038</v>
      </c>
      <c r="B12" s="231" t="s">
        <v>2039</v>
      </c>
    </row>
    <row r="13" spans="1:2" hidden="1">
      <c r="A13" s="230" t="s">
        <v>2040</v>
      </c>
      <c r="B13" s="231" t="s">
        <v>2041</v>
      </c>
    </row>
    <row r="14" spans="1:2" hidden="1">
      <c r="A14" s="230" t="s">
        <v>2042</v>
      </c>
      <c r="B14" s="231" t="s">
        <v>1426</v>
      </c>
    </row>
    <row r="15" spans="1:2" hidden="1">
      <c r="A15" s="230" t="s">
        <v>2043</v>
      </c>
      <c r="B15" s="231" t="s">
        <v>2044</v>
      </c>
    </row>
    <row r="16" spans="1:2" hidden="1">
      <c r="A16" s="230" t="s">
        <v>1225</v>
      </c>
      <c r="B16" s="231" t="s">
        <v>1226</v>
      </c>
    </row>
    <row r="17" spans="1:2" hidden="1">
      <c r="A17" s="230" t="s">
        <v>1227</v>
      </c>
      <c r="B17" s="231" t="s">
        <v>1228</v>
      </c>
    </row>
    <row r="18" spans="1:2" hidden="1">
      <c r="A18" s="230" t="s">
        <v>2045</v>
      </c>
      <c r="B18" s="231" t="s">
        <v>2046</v>
      </c>
    </row>
    <row r="19" spans="1:2" hidden="1">
      <c r="A19" s="230" t="s">
        <v>2047</v>
      </c>
      <c r="B19" s="231" t="s">
        <v>2048</v>
      </c>
    </row>
    <row r="20" spans="1:2" hidden="1">
      <c r="A20" s="230" t="s">
        <v>1217</v>
      </c>
      <c r="B20" s="231" t="s">
        <v>1218</v>
      </c>
    </row>
    <row r="21" spans="1:2" hidden="1">
      <c r="A21" s="230" t="s">
        <v>1219</v>
      </c>
      <c r="B21" s="231" t="s">
        <v>1220</v>
      </c>
    </row>
    <row r="22" spans="1:2" hidden="1">
      <c r="A22" s="230" t="s">
        <v>1229</v>
      </c>
      <c r="B22" s="231" t="s">
        <v>1230</v>
      </c>
    </row>
    <row r="23" spans="1:2" hidden="1">
      <c r="A23" s="230" t="s">
        <v>2049</v>
      </c>
      <c r="B23" s="231" t="s">
        <v>2050</v>
      </c>
    </row>
    <row r="24" spans="1:2" hidden="1">
      <c r="A24" s="230" t="s">
        <v>2051</v>
      </c>
      <c r="B24" s="231" t="s">
        <v>2052</v>
      </c>
    </row>
    <row r="25" spans="1:2" hidden="1">
      <c r="A25" s="230" t="s">
        <v>2053</v>
      </c>
      <c r="B25" s="231" t="s">
        <v>2054</v>
      </c>
    </row>
    <row r="26" spans="1:2" hidden="1">
      <c r="A26" s="230" t="s">
        <v>1234</v>
      </c>
      <c r="B26" s="231" t="s">
        <v>1235</v>
      </c>
    </row>
    <row r="27" spans="1:2" hidden="1">
      <c r="A27" s="230" t="s">
        <v>2055</v>
      </c>
      <c r="B27" s="231" t="s">
        <v>2056</v>
      </c>
    </row>
    <row r="28" spans="1:2" hidden="1">
      <c r="A28" s="230" t="s">
        <v>1231</v>
      </c>
      <c r="B28" s="231" t="s">
        <v>1232</v>
      </c>
    </row>
    <row r="29" spans="1:2" hidden="1">
      <c r="A29" s="230" t="s">
        <v>1221</v>
      </c>
      <c r="B29" s="231" t="s">
        <v>1222</v>
      </c>
    </row>
    <row r="30" spans="1:2" hidden="1">
      <c r="A30" s="230" t="s">
        <v>2057</v>
      </c>
      <c r="B30" s="231" t="s">
        <v>2058</v>
      </c>
    </row>
    <row r="31" spans="1:2" hidden="1">
      <c r="A31" s="230" t="s">
        <v>2059</v>
      </c>
      <c r="B31" s="231" t="s">
        <v>2060</v>
      </c>
    </row>
    <row r="32" spans="1:2" hidden="1">
      <c r="A32" s="230" t="s">
        <v>2061</v>
      </c>
      <c r="B32" s="231" t="s">
        <v>2062</v>
      </c>
    </row>
    <row r="33" spans="1:2" hidden="1">
      <c r="A33" s="230" t="s">
        <v>2063</v>
      </c>
      <c r="B33" s="231" t="s">
        <v>2064</v>
      </c>
    </row>
    <row r="34" spans="1:2" hidden="1">
      <c r="A34" s="230" t="s">
        <v>2066</v>
      </c>
      <c r="B34" s="231" t="s">
        <v>2067</v>
      </c>
    </row>
    <row r="35" spans="1:2" hidden="1">
      <c r="A35" s="230" t="s">
        <v>2068</v>
      </c>
      <c r="B35" s="231" t="s">
        <v>2069</v>
      </c>
    </row>
    <row r="36" spans="1:2" hidden="1">
      <c r="A36" s="230" t="s">
        <v>2124</v>
      </c>
      <c r="B36" s="231" t="s">
        <v>2125</v>
      </c>
    </row>
    <row r="37" spans="1:2" hidden="1">
      <c r="A37" s="230" t="s">
        <v>2135</v>
      </c>
      <c r="B37" s="231" t="s">
        <v>2134</v>
      </c>
    </row>
    <row r="38" spans="1:2">
      <c r="A38" s="228" t="s">
        <v>51</v>
      </c>
      <c r="B38" s="229" t="s">
        <v>52</v>
      </c>
    </row>
    <row r="39" spans="1:2">
      <c r="A39" s="230" t="s">
        <v>55</v>
      </c>
      <c r="B39" s="231" t="s">
        <v>56</v>
      </c>
    </row>
    <row r="40" spans="1:2">
      <c r="A40" s="230" t="s">
        <v>65</v>
      </c>
      <c r="B40" s="231" t="s">
        <v>66</v>
      </c>
    </row>
    <row r="41" spans="1:2">
      <c r="A41" s="230" t="s">
        <v>68</v>
      </c>
      <c r="B41" s="231" t="s">
        <v>69</v>
      </c>
    </row>
    <row r="42" spans="1:2">
      <c r="A42" s="230" t="s">
        <v>70</v>
      </c>
      <c r="B42" s="231" t="s">
        <v>71</v>
      </c>
    </row>
    <row r="43" spans="1:2">
      <c r="A43" s="230" t="s">
        <v>803</v>
      </c>
      <c r="B43" s="231" t="s">
        <v>804</v>
      </c>
    </row>
    <row r="44" spans="1:2">
      <c r="A44" s="230" t="s">
        <v>75</v>
      </c>
      <c r="B44" s="231" t="s">
        <v>76</v>
      </c>
    </row>
    <row r="45" spans="1:2">
      <c r="A45" s="230" t="s">
        <v>77</v>
      </c>
      <c r="B45" s="231" t="s">
        <v>78</v>
      </c>
    </row>
    <row r="46" spans="1:2">
      <c r="A46" s="230" t="s">
        <v>79</v>
      </c>
      <c r="B46" s="231" t="s">
        <v>80</v>
      </c>
    </row>
    <row r="47" spans="1:2">
      <c r="A47" s="230" t="s">
        <v>82</v>
      </c>
      <c r="B47" s="231" t="s">
        <v>83</v>
      </c>
    </row>
    <row r="48" spans="1:2">
      <c r="A48" s="230" t="s">
        <v>807</v>
      </c>
      <c r="B48" s="231" t="s">
        <v>808</v>
      </c>
    </row>
    <row r="49" spans="1:2">
      <c r="A49" s="232" t="s">
        <v>1197</v>
      </c>
      <c r="B49" s="233" t="s">
        <v>1198</v>
      </c>
    </row>
    <row r="50" spans="1:2">
      <c r="A50" s="230" t="s">
        <v>809</v>
      </c>
      <c r="B50" s="231" t="s">
        <v>810</v>
      </c>
    </row>
    <row r="51" spans="1:2">
      <c r="A51" s="230" t="s">
        <v>801</v>
      </c>
      <c r="B51" s="231" t="s">
        <v>802</v>
      </c>
    </row>
    <row r="52" spans="1:2">
      <c r="A52" s="230" t="s">
        <v>2070</v>
      </c>
      <c r="B52" s="231" t="s">
        <v>2071</v>
      </c>
    </row>
    <row r="53" spans="1:2">
      <c r="A53" s="230" t="s">
        <v>149</v>
      </c>
      <c r="B53" s="231" t="s">
        <v>150</v>
      </c>
    </row>
    <row r="54" spans="1:2">
      <c r="A54" s="230" t="s">
        <v>152</v>
      </c>
      <c r="B54" s="231" t="s">
        <v>1570</v>
      </c>
    </row>
    <row r="55" spans="1:2">
      <c r="A55" s="230" t="s">
        <v>181</v>
      </c>
      <c r="B55" s="231" t="s">
        <v>1571</v>
      </c>
    </row>
    <row r="56" spans="1:2">
      <c r="A56" s="230" t="s">
        <v>184</v>
      </c>
      <c r="B56" s="231" t="s">
        <v>1572</v>
      </c>
    </row>
    <row r="57" spans="1:2">
      <c r="A57" s="230" t="s">
        <v>187</v>
      </c>
      <c r="B57" s="231" t="s">
        <v>1573</v>
      </c>
    </row>
    <row r="58" spans="1:2">
      <c r="A58" s="230" t="s">
        <v>191</v>
      </c>
      <c r="B58" s="231" t="s">
        <v>1574</v>
      </c>
    </row>
    <row r="59" spans="1:2">
      <c r="A59" s="230" t="s">
        <v>192</v>
      </c>
      <c r="B59" s="231" t="s">
        <v>1575</v>
      </c>
    </row>
    <row r="60" spans="1:2">
      <c r="A60" s="230" t="s">
        <v>194</v>
      </c>
      <c r="B60" s="231" t="s">
        <v>1576</v>
      </c>
    </row>
    <row r="61" spans="1:2">
      <c r="A61" s="230" t="s">
        <v>200</v>
      </c>
      <c r="B61" s="231" t="s">
        <v>1577</v>
      </c>
    </row>
    <row r="62" spans="1:2">
      <c r="A62" s="230" t="s">
        <v>201</v>
      </c>
      <c r="B62" s="231" t="s">
        <v>1578</v>
      </c>
    </row>
    <row r="63" spans="1:2">
      <c r="A63" s="230" t="s">
        <v>799</v>
      </c>
      <c r="B63" s="231" t="s">
        <v>800</v>
      </c>
    </row>
    <row r="64" spans="1:2">
      <c r="A64" s="230" t="s">
        <v>2072</v>
      </c>
      <c r="B64" s="231" t="s">
        <v>2073</v>
      </c>
    </row>
    <row r="65" spans="1:2">
      <c r="A65" s="230" t="s">
        <v>805</v>
      </c>
      <c r="B65" s="231" t="s">
        <v>806</v>
      </c>
    </row>
    <row r="66" spans="1:2">
      <c r="A66" s="228" t="s">
        <v>655</v>
      </c>
      <c r="B66" s="229" t="s">
        <v>1201</v>
      </c>
    </row>
    <row r="67" spans="1:2">
      <c r="A67" s="230" t="s">
        <v>816</v>
      </c>
      <c r="B67" s="231" t="s">
        <v>817</v>
      </c>
    </row>
    <row r="68" spans="1:2">
      <c r="A68" s="230" t="s">
        <v>818</v>
      </c>
      <c r="B68" s="231" t="s">
        <v>819</v>
      </c>
    </row>
    <row r="69" spans="1:2">
      <c r="A69" s="230" t="s">
        <v>1202</v>
      </c>
      <c r="B69" s="231" t="s">
        <v>1203</v>
      </c>
    </row>
    <row r="70" spans="1:2">
      <c r="A70" s="230" t="s">
        <v>820</v>
      </c>
      <c r="B70" s="231" t="s">
        <v>821</v>
      </c>
    </row>
    <row r="71" spans="1:2">
      <c r="A71" s="230" t="s">
        <v>1204</v>
      </c>
      <c r="B71" s="231" t="s">
        <v>1196</v>
      </c>
    </row>
    <row r="72" spans="1:2">
      <c r="A72" s="230" t="s">
        <v>823</v>
      </c>
      <c r="B72" s="231" t="s">
        <v>1579</v>
      </c>
    </row>
    <row r="73" spans="1:2">
      <c r="A73" s="230" t="s">
        <v>824</v>
      </c>
      <c r="B73" s="231" t="s">
        <v>825</v>
      </c>
    </row>
    <row r="74" spans="1:2">
      <c r="A74" s="228" t="s">
        <v>1236</v>
      </c>
      <c r="B74" s="229" t="s">
        <v>1237</v>
      </c>
    </row>
    <row r="75" spans="1:2">
      <c r="A75" s="230" t="s">
        <v>1238</v>
      </c>
      <c r="B75" s="231" t="s">
        <v>1239</v>
      </c>
    </row>
    <row r="76" spans="1:2">
      <c r="A76" s="230" t="s">
        <v>1240</v>
      </c>
      <c r="B76" s="231" t="s">
        <v>1241</v>
      </c>
    </row>
    <row r="77" spans="1:2">
      <c r="A77" s="228" t="s">
        <v>1242</v>
      </c>
      <c r="B77" s="229" t="s">
        <v>1243</v>
      </c>
    </row>
    <row r="78" spans="1:2">
      <c r="A78" s="230" t="s">
        <v>1244</v>
      </c>
      <c r="B78" s="231" t="s">
        <v>1245</v>
      </c>
    </row>
    <row r="79" spans="1:2">
      <c r="A79" s="230" t="s">
        <v>1246</v>
      </c>
      <c r="B79" s="231" t="s">
        <v>1247</v>
      </c>
    </row>
    <row r="80" spans="1:2">
      <c r="A80" s="230" t="s">
        <v>1248</v>
      </c>
      <c r="B80" s="231" t="s">
        <v>1580</v>
      </c>
    </row>
    <row r="81" spans="1:2">
      <c r="A81" s="230" t="s">
        <v>1249</v>
      </c>
      <c r="B81" s="231" t="s">
        <v>1250</v>
      </c>
    </row>
    <row r="82" spans="1:2">
      <c r="A82" s="228" t="s">
        <v>1251</v>
      </c>
      <c r="B82" s="229" t="s">
        <v>1252</v>
      </c>
    </row>
    <row r="83" spans="1:2">
      <c r="A83" s="230" t="s">
        <v>1255</v>
      </c>
      <c r="B83" s="231" t="s">
        <v>1256</v>
      </c>
    </row>
    <row r="84" spans="1:2">
      <c r="A84" s="230" t="s">
        <v>1257</v>
      </c>
      <c r="B84" s="231" t="s">
        <v>1258</v>
      </c>
    </row>
    <row r="85" spans="1:2">
      <c r="A85" s="230" t="s">
        <v>1259</v>
      </c>
      <c r="B85" s="231" t="s">
        <v>1260</v>
      </c>
    </row>
    <row r="86" spans="1:2">
      <c r="A86" s="230" t="s">
        <v>1261</v>
      </c>
      <c r="B86" s="231" t="s">
        <v>1262</v>
      </c>
    </row>
    <row r="87" spans="1:2">
      <c r="A87" s="230" t="s">
        <v>1263</v>
      </c>
      <c r="B87" s="231" t="s">
        <v>1264</v>
      </c>
    </row>
    <row r="88" spans="1:2">
      <c r="A88" s="230" t="s">
        <v>1265</v>
      </c>
      <c r="B88" s="231" t="s">
        <v>1266</v>
      </c>
    </row>
    <row r="89" spans="1:2">
      <c r="A89" s="230" t="s">
        <v>1267</v>
      </c>
      <c r="B89" s="231" t="s">
        <v>1268</v>
      </c>
    </row>
    <row r="90" spans="1:2">
      <c r="A90" s="230" t="s">
        <v>1269</v>
      </c>
      <c r="B90" s="231" t="s">
        <v>1270</v>
      </c>
    </row>
    <row r="91" spans="1:2">
      <c r="A91" s="230" t="s">
        <v>1271</v>
      </c>
      <c r="B91" s="231" t="s">
        <v>1272</v>
      </c>
    </row>
    <row r="92" spans="1:2">
      <c r="A92" s="230" t="s">
        <v>1273</v>
      </c>
      <c r="B92" s="231" t="s">
        <v>1274</v>
      </c>
    </row>
    <row r="93" spans="1:2">
      <c r="A93" s="230" t="s">
        <v>1275</v>
      </c>
      <c r="B93" s="231" t="s">
        <v>1276</v>
      </c>
    </row>
    <row r="94" spans="1:2">
      <c r="A94" s="230" t="s">
        <v>2074</v>
      </c>
      <c r="B94" s="231" t="s">
        <v>2075</v>
      </c>
    </row>
    <row r="95" spans="1:2">
      <c r="A95" s="230" t="s">
        <v>1277</v>
      </c>
      <c r="B95" s="231" t="s">
        <v>1278</v>
      </c>
    </row>
    <row r="96" spans="1:2">
      <c r="A96" s="230" t="s">
        <v>1279</v>
      </c>
      <c r="B96" s="231" t="s">
        <v>1280</v>
      </c>
    </row>
    <row r="97" spans="1:2">
      <c r="A97" s="228" t="s">
        <v>1285</v>
      </c>
      <c r="B97" s="229" t="s">
        <v>1286</v>
      </c>
    </row>
    <row r="98" spans="1:2">
      <c r="A98" s="230" t="s">
        <v>1287</v>
      </c>
      <c r="B98" s="231" t="s">
        <v>1288</v>
      </c>
    </row>
    <row r="99" spans="1:2">
      <c r="A99" s="230" t="s">
        <v>1289</v>
      </c>
      <c r="B99" s="231" t="s">
        <v>1582</v>
      </c>
    </row>
    <row r="100" spans="1:2">
      <c r="A100" s="228" t="s">
        <v>1290</v>
      </c>
      <c r="B100" s="229" t="s">
        <v>1291</v>
      </c>
    </row>
    <row r="101" spans="1:2">
      <c r="A101" s="230" t="s">
        <v>1292</v>
      </c>
      <c r="B101" s="231" t="s">
        <v>1293</v>
      </c>
    </row>
    <row r="102" spans="1:2">
      <c r="A102" s="230" t="s">
        <v>1294</v>
      </c>
      <c r="B102" s="231" t="s">
        <v>1581</v>
      </c>
    </row>
    <row r="103" spans="1:2">
      <c r="A103" s="230" t="s">
        <v>1295</v>
      </c>
      <c r="B103" s="231" t="s">
        <v>1296</v>
      </c>
    </row>
    <row r="104" spans="1:2">
      <c r="A104" s="230" t="s">
        <v>1297</v>
      </c>
      <c r="B104" s="231" t="s">
        <v>1583</v>
      </c>
    </row>
    <row r="105" spans="1:2">
      <c r="A105" s="228" t="s">
        <v>1300</v>
      </c>
      <c r="B105" s="229" t="s">
        <v>1301</v>
      </c>
    </row>
    <row r="106" spans="1:2">
      <c r="A106" s="230" t="s">
        <v>1302</v>
      </c>
      <c r="B106" s="231" t="s">
        <v>1303</v>
      </c>
    </row>
    <row r="107" spans="1:2">
      <c r="A107" s="230" t="s">
        <v>1304</v>
      </c>
      <c r="B107" s="231" t="s">
        <v>1305</v>
      </c>
    </row>
    <row r="108" spans="1:2">
      <c r="A108" s="230" t="s">
        <v>1306</v>
      </c>
      <c r="B108" s="231" t="s">
        <v>1307</v>
      </c>
    </row>
    <row r="109" spans="1:2">
      <c r="A109" s="230" t="s">
        <v>1308</v>
      </c>
      <c r="B109" s="231" t="s">
        <v>1309</v>
      </c>
    </row>
    <row r="110" spans="1:2">
      <c r="A110" s="230" t="s">
        <v>1310</v>
      </c>
      <c r="B110" s="231" t="s">
        <v>1311</v>
      </c>
    </row>
    <row r="111" spans="1:2">
      <c r="A111" s="230" t="s">
        <v>1312</v>
      </c>
      <c r="B111" s="231" t="s">
        <v>1313</v>
      </c>
    </row>
    <row r="112" spans="1:2">
      <c r="A112" s="230" t="s">
        <v>2076</v>
      </c>
      <c r="B112" s="231" t="s">
        <v>2077</v>
      </c>
    </row>
    <row r="113" spans="1:2">
      <c r="A113" s="230" t="s">
        <v>1314</v>
      </c>
      <c r="B113" s="231" t="s">
        <v>1315</v>
      </c>
    </row>
    <row r="114" spans="1:2">
      <c r="A114" s="230" t="s">
        <v>2078</v>
      </c>
      <c r="B114" s="231" t="s">
        <v>1282</v>
      </c>
    </row>
    <row r="115" spans="1:2">
      <c r="A115" s="230" t="s">
        <v>2079</v>
      </c>
      <c r="B115" s="231" t="s">
        <v>813</v>
      </c>
    </row>
    <row r="116" spans="1:2">
      <c r="A116" s="228" t="s">
        <v>1316</v>
      </c>
      <c r="B116" s="229" t="s">
        <v>1317</v>
      </c>
    </row>
    <row r="117" spans="1:2">
      <c r="A117" s="230" t="s">
        <v>1318</v>
      </c>
      <c r="B117" s="231" t="s">
        <v>1319</v>
      </c>
    </row>
    <row r="118" spans="1:2">
      <c r="A118" s="230" t="s">
        <v>1320</v>
      </c>
      <c r="B118" s="231" t="s">
        <v>1321</v>
      </c>
    </row>
    <row r="119" spans="1:2">
      <c r="A119" s="230" t="s">
        <v>1322</v>
      </c>
      <c r="B119" s="231" t="s">
        <v>1323</v>
      </c>
    </row>
    <row r="120" spans="1:2">
      <c r="A120" s="230" t="s">
        <v>1324</v>
      </c>
      <c r="B120" s="231" t="s">
        <v>1325</v>
      </c>
    </row>
    <row r="121" spans="1:2">
      <c r="A121" s="230" t="s">
        <v>1326</v>
      </c>
      <c r="B121" s="231" t="s">
        <v>1327</v>
      </c>
    </row>
    <row r="122" spans="1:2">
      <c r="A122" s="230" t="s">
        <v>1328</v>
      </c>
      <c r="B122" s="231" t="s">
        <v>1329</v>
      </c>
    </row>
    <row r="123" spans="1:2">
      <c r="A123" s="230" t="s">
        <v>1330</v>
      </c>
      <c r="B123" s="231" t="s">
        <v>1331</v>
      </c>
    </row>
    <row r="124" spans="1:2">
      <c r="A124" s="230" t="s">
        <v>1332</v>
      </c>
      <c r="B124" s="231" t="s">
        <v>1333</v>
      </c>
    </row>
    <row r="125" spans="1:2">
      <c r="A125" s="230" t="s">
        <v>1334</v>
      </c>
      <c r="B125" s="231" t="s">
        <v>1335</v>
      </c>
    </row>
    <row r="126" spans="1:2">
      <c r="A126" s="230" t="s">
        <v>1336</v>
      </c>
      <c r="B126" s="231" t="s">
        <v>1337</v>
      </c>
    </row>
    <row r="127" spans="1:2">
      <c r="A127" s="230" t="s">
        <v>1338</v>
      </c>
      <c r="B127" s="231" t="s">
        <v>1339</v>
      </c>
    </row>
    <row r="128" spans="1:2">
      <c r="A128" s="230" t="s">
        <v>1340</v>
      </c>
      <c r="B128" s="231" t="s">
        <v>1341</v>
      </c>
    </row>
    <row r="129" spans="1:2">
      <c r="A129" s="230" t="s">
        <v>1342</v>
      </c>
      <c r="B129" s="231" t="s">
        <v>1343</v>
      </c>
    </row>
    <row r="130" spans="1:2">
      <c r="A130" s="230" t="s">
        <v>1344</v>
      </c>
      <c r="B130" s="231" t="s">
        <v>1345</v>
      </c>
    </row>
    <row r="131" spans="1:2">
      <c r="A131" s="230" t="s">
        <v>1346</v>
      </c>
      <c r="B131" s="231" t="s">
        <v>1347</v>
      </c>
    </row>
    <row r="132" spans="1:2">
      <c r="A132" s="230" t="s">
        <v>2080</v>
      </c>
      <c r="B132" s="231" t="s">
        <v>2081</v>
      </c>
    </row>
    <row r="133" spans="1:2">
      <c r="A133" s="230" t="s">
        <v>1348</v>
      </c>
      <c r="B133" s="231" t="s">
        <v>1349</v>
      </c>
    </row>
    <row r="134" spans="1:2">
      <c r="A134" s="230" t="s">
        <v>1350</v>
      </c>
      <c r="B134" s="231" t="s">
        <v>1351</v>
      </c>
    </row>
    <row r="135" spans="1:2">
      <c r="A135" s="230" t="s">
        <v>1352</v>
      </c>
      <c r="B135" s="231" t="s">
        <v>813</v>
      </c>
    </row>
    <row r="136" spans="1:2">
      <c r="A136" s="230" t="s">
        <v>1353</v>
      </c>
      <c r="B136" s="231" t="s">
        <v>1354</v>
      </c>
    </row>
    <row r="137" spans="1:2">
      <c r="A137" s="230" t="s">
        <v>1355</v>
      </c>
      <c r="B137" s="231" t="s">
        <v>1356</v>
      </c>
    </row>
    <row r="138" spans="1:2">
      <c r="A138" s="228" t="s">
        <v>1357</v>
      </c>
      <c r="B138" s="229" t="s">
        <v>1358</v>
      </c>
    </row>
    <row r="139" spans="1:2">
      <c r="A139" s="230" t="s">
        <v>1359</v>
      </c>
      <c r="B139" s="231" t="s">
        <v>1360</v>
      </c>
    </row>
    <row r="140" spans="1:2">
      <c r="A140" s="230" t="s">
        <v>1361</v>
      </c>
      <c r="B140" s="231" t="s">
        <v>2082</v>
      </c>
    </row>
    <row r="141" spans="1:2">
      <c r="A141" s="230" t="s">
        <v>1362</v>
      </c>
      <c r="B141" s="231" t="s">
        <v>1363</v>
      </c>
    </row>
    <row r="142" spans="1:2">
      <c r="A142" s="230" t="s">
        <v>1364</v>
      </c>
      <c r="B142" s="231" t="s">
        <v>1365</v>
      </c>
    </row>
    <row r="143" spans="1:2">
      <c r="A143" s="230" t="s">
        <v>1366</v>
      </c>
      <c r="B143" s="231" t="s">
        <v>1367</v>
      </c>
    </row>
    <row r="144" spans="1:2">
      <c r="A144" s="230" t="s">
        <v>1368</v>
      </c>
      <c r="B144" s="231" t="s">
        <v>1369</v>
      </c>
    </row>
    <row r="145" spans="1:2">
      <c r="A145" s="230" t="s">
        <v>1370</v>
      </c>
      <c r="B145" s="231" t="s">
        <v>1371</v>
      </c>
    </row>
    <row r="146" spans="1:2">
      <c r="A146" s="230" t="s">
        <v>1372</v>
      </c>
      <c r="B146" s="231" t="s">
        <v>1373</v>
      </c>
    </row>
    <row r="147" spans="1:2">
      <c r="A147" s="230" t="s">
        <v>1376</v>
      </c>
      <c r="B147" s="231" t="s">
        <v>1377</v>
      </c>
    </row>
    <row r="148" spans="1:2">
      <c r="A148" s="230" t="s">
        <v>1374</v>
      </c>
      <c r="B148" s="231" t="s">
        <v>1375</v>
      </c>
    </row>
    <row r="149" spans="1:2">
      <c r="A149" s="228" t="s">
        <v>1378</v>
      </c>
      <c r="B149" s="229" t="s">
        <v>1379</v>
      </c>
    </row>
    <row r="150" spans="1:2">
      <c r="A150" s="230" t="s">
        <v>1380</v>
      </c>
      <c r="B150" s="231" t="s">
        <v>1381</v>
      </c>
    </row>
    <row r="151" spans="1:2">
      <c r="A151" s="230" t="s">
        <v>1382</v>
      </c>
      <c r="B151" s="231" t="s">
        <v>1383</v>
      </c>
    </row>
    <row r="152" spans="1:2">
      <c r="A152" s="230" t="s">
        <v>1384</v>
      </c>
      <c r="B152" s="231" t="s">
        <v>1385</v>
      </c>
    </row>
    <row r="153" spans="1:2">
      <c r="A153" s="230" t="s">
        <v>1386</v>
      </c>
      <c r="B153" s="231" t="s">
        <v>1387</v>
      </c>
    </row>
    <row r="154" spans="1:2">
      <c r="A154" s="230" t="s">
        <v>1388</v>
      </c>
      <c r="B154" s="231" t="s">
        <v>1389</v>
      </c>
    </row>
    <row r="155" spans="1:2">
      <c r="A155" s="230" t="s">
        <v>1390</v>
      </c>
      <c r="B155" s="231" t="s">
        <v>1391</v>
      </c>
    </row>
    <row r="156" spans="1:2">
      <c r="A156" s="230" t="s">
        <v>1392</v>
      </c>
      <c r="B156" s="231" t="s">
        <v>1393</v>
      </c>
    </row>
    <row r="157" spans="1:2">
      <c r="A157" s="230" t="s">
        <v>1394</v>
      </c>
      <c r="B157" s="231" t="s">
        <v>1395</v>
      </c>
    </row>
    <row r="158" spans="1:2">
      <c r="A158" s="230" t="s">
        <v>1396</v>
      </c>
      <c r="B158" s="231" t="s">
        <v>1397</v>
      </c>
    </row>
    <row r="159" spans="1:2">
      <c r="A159" s="230" t="s">
        <v>1398</v>
      </c>
      <c r="B159" s="231" t="s">
        <v>1399</v>
      </c>
    </row>
    <row r="160" spans="1:2">
      <c r="A160" s="230" t="s">
        <v>1400</v>
      </c>
      <c r="B160" s="231" t="s">
        <v>2083</v>
      </c>
    </row>
    <row r="161" spans="1:2">
      <c r="A161" s="230" t="s">
        <v>1401</v>
      </c>
      <c r="B161" s="231" t="s">
        <v>2084</v>
      </c>
    </row>
    <row r="162" spans="1:2">
      <c r="A162" s="230" t="s">
        <v>1402</v>
      </c>
      <c r="B162" s="231" t="s">
        <v>2085</v>
      </c>
    </row>
    <row r="163" spans="1:2">
      <c r="A163" s="230" t="s">
        <v>1403</v>
      </c>
      <c r="B163" s="231" t="s">
        <v>1404</v>
      </c>
    </row>
    <row r="164" spans="1:2">
      <c r="A164" s="230" t="s">
        <v>1405</v>
      </c>
      <c r="B164" s="231" t="s">
        <v>1406</v>
      </c>
    </row>
    <row r="165" spans="1:2">
      <c r="A165" s="230" t="s">
        <v>1407</v>
      </c>
      <c r="B165" s="231" t="s">
        <v>2086</v>
      </c>
    </row>
    <row r="166" spans="1:2">
      <c r="A166" s="230" t="s">
        <v>1408</v>
      </c>
      <c r="B166" s="231" t="s">
        <v>2087</v>
      </c>
    </row>
    <row r="167" spans="1:2">
      <c r="A167" s="230" t="s">
        <v>1409</v>
      </c>
      <c r="B167" s="231" t="s">
        <v>1410</v>
      </c>
    </row>
    <row r="168" spans="1:2">
      <c r="A168" s="230" t="s">
        <v>1411</v>
      </c>
      <c r="B168" s="231" t="s">
        <v>1412</v>
      </c>
    </row>
    <row r="169" spans="1:2">
      <c r="A169" s="228" t="s">
        <v>1413</v>
      </c>
      <c r="B169" s="229" t="s">
        <v>1414</v>
      </c>
    </row>
    <row r="170" spans="1:2">
      <c r="A170" s="230" t="s">
        <v>1415</v>
      </c>
      <c r="B170" s="231" t="s">
        <v>1416</v>
      </c>
    </row>
    <row r="171" spans="1:2">
      <c r="A171" s="230" t="s">
        <v>1417</v>
      </c>
      <c r="B171" s="231" t="s">
        <v>1418</v>
      </c>
    </row>
    <row r="172" spans="1:2">
      <c r="A172" s="230" t="s">
        <v>1419</v>
      </c>
      <c r="B172" s="231" t="s">
        <v>1420</v>
      </c>
    </row>
    <row r="173" spans="1:2">
      <c r="A173" s="230" t="s">
        <v>1421</v>
      </c>
      <c r="B173" s="231" t="s">
        <v>1422</v>
      </c>
    </row>
    <row r="174" spans="1:2">
      <c r="A174" s="230" t="s">
        <v>1423</v>
      </c>
      <c r="B174" s="231" t="s">
        <v>1424</v>
      </c>
    </row>
    <row r="175" spans="1:2">
      <c r="A175" s="230" t="s">
        <v>1425</v>
      </c>
      <c r="B175" s="231" t="s">
        <v>1426</v>
      </c>
    </row>
    <row r="176" spans="1:2">
      <c r="A176" s="230" t="s">
        <v>1427</v>
      </c>
      <c r="B176" s="231" t="s">
        <v>1428</v>
      </c>
    </row>
    <row r="177" spans="1:2">
      <c r="A177" s="230" t="s">
        <v>1429</v>
      </c>
      <c r="B177" s="231" t="s">
        <v>1430</v>
      </c>
    </row>
    <row r="178" spans="1:2">
      <c r="A178" s="230" t="s">
        <v>1431</v>
      </c>
      <c r="B178" s="231" t="s">
        <v>1432</v>
      </c>
    </row>
    <row r="179" spans="1:2">
      <c r="A179" s="230" t="s">
        <v>1433</v>
      </c>
      <c r="B179" s="231" t="s">
        <v>1434</v>
      </c>
    </row>
    <row r="180" spans="1:2">
      <c r="A180" s="230" t="s">
        <v>1435</v>
      </c>
      <c r="B180" s="231" t="s">
        <v>1436</v>
      </c>
    </row>
    <row r="181" spans="1:2">
      <c r="A181" s="230" t="s">
        <v>1437</v>
      </c>
      <c r="B181" s="231" t="s">
        <v>1438</v>
      </c>
    </row>
    <row r="182" spans="1:2">
      <c r="A182" s="230" t="s">
        <v>1439</v>
      </c>
      <c r="B182" s="231" t="s">
        <v>1440</v>
      </c>
    </row>
    <row r="183" spans="1:2">
      <c r="A183" s="230" t="s">
        <v>1441</v>
      </c>
      <c r="B183" s="231" t="s">
        <v>1442</v>
      </c>
    </row>
    <row r="184" spans="1:2">
      <c r="A184" s="230" t="s">
        <v>1444</v>
      </c>
      <c r="B184" s="231" t="s">
        <v>1445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94"/>
  <sheetViews>
    <sheetView workbookViewId="0">
      <selection activeCell="D60" sqref="D60"/>
    </sheetView>
  </sheetViews>
  <sheetFormatPr defaultRowHeight="15"/>
  <cols>
    <col min="1" max="1" width="22.5703125" customWidth="1"/>
    <col min="2" max="2" width="122.140625" customWidth="1"/>
  </cols>
  <sheetData>
    <row r="1" spans="1:2">
      <c r="A1" s="207" t="s">
        <v>1446</v>
      </c>
      <c r="B1" s="208"/>
    </row>
    <row r="2" spans="1:2">
      <c r="A2" s="207" t="s">
        <v>1195</v>
      </c>
      <c r="B2" s="208" t="s">
        <v>610</v>
      </c>
    </row>
    <row r="3" spans="1:2" hidden="1">
      <c r="A3" s="209" t="s">
        <v>1205</v>
      </c>
      <c r="B3" s="221" t="s">
        <v>1206</v>
      </c>
    </row>
    <row r="4" spans="1:2" hidden="1">
      <c r="A4" s="210" t="s">
        <v>1207</v>
      </c>
      <c r="B4" s="222" t="s">
        <v>1208</v>
      </c>
    </row>
    <row r="5" spans="1:2" hidden="1">
      <c r="A5" s="210" t="s">
        <v>1223</v>
      </c>
      <c r="B5" s="222" t="s">
        <v>815</v>
      </c>
    </row>
    <row r="6" spans="1:2" hidden="1">
      <c r="A6" s="211" t="s">
        <v>1447</v>
      </c>
      <c r="B6" s="212" t="s">
        <v>1448</v>
      </c>
    </row>
    <row r="7" spans="1:2" hidden="1">
      <c r="A7" s="210" t="s">
        <v>1224</v>
      </c>
      <c r="B7" s="222" t="s">
        <v>813</v>
      </c>
    </row>
    <row r="8" spans="1:2" ht="22.5" hidden="1">
      <c r="A8" s="211" t="s">
        <v>1449</v>
      </c>
      <c r="B8" s="212" t="s">
        <v>1450</v>
      </c>
    </row>
    <row r="9" spans="1:2" hidden="1">
      <c r="A9" s="211" t="s">
        <v>1451</v>
      </c>
      <c r="B9" s="212" t="s">
        <v>1452</v>
      </c>
    </row>
    <row r="10" spans="1:2" hidden="1">
      <c r="A10" s="211" t="s">
        <v>1453</v>
      </c>
      <c r="B10" s="212" t="s">
        <v>1454</v>
      </c>
    </row>
    <row r="11" spans="1:2" ht="22.5" hidden="1">
      <c r="A11" s="211" t="s">
        <v>1455</v>
      </c>
      <c r="B11" s="212" t="s">
        <v>1456</v>
      </c>
    </row>
    <row r="12" spans="1:2" hidden="1">
      <c r="A12" s="211" t="s">
        <v>1457</v>
      </c>
      <c r="B12" s="212" t="s">
        <v>1458</v>
      </c>
    </row>
    <row r="13" spans="1:2" hidden="1">
      <c r="A13" s="211" t="s">
        <v>1459</v>
      </c>
      <c r="B13" s="212" t="s">
        <v>1115</v>
      </c>
    </row>
    <row r="14" spans="1:2" hidden="1">
      <c r="A14" s="211" t="s">
        <v>1460</v>
      </c>
      <c r="B14" s="212" t="s">
        <v>1117</v>
      </c>
    </row>
    <row r="15" spans="1:2" hidden="1">
      <c r="A15" s="211" t="s">
        <v>1461</v>
      </c>
      <c r="B15" s="212" t="s">
        <v>1119</v>
      </c>
    </row>
    <row r="16" spans="1:2" hidden="1">
      <c r="A16" s="211" t="s">
        <v>1462</v>
      </c>
      <c r="B16" s="212" t="s">
        <v>1463</v>
      </c>
    </row>
    <row r="17" spans="1:2" hidden="1">
      <c r="A17" s="211" t="s">
        <v>1464</v>
      </c>
      <c r="B17" s="212" t="s">
        <v>1465</v>
      </c>
    </row>
    <row r="18" spans="1:2" hidden="1">
      <c r="A18" s="211" t="s">
        <v>1466</v>
      </c>
      <c r="B18" s="212" t="s">
        <v>1467</v>
      </c>
    </row>
    <row r="19" spans="1:2" hidden="1">
      <c r="A19" s="211" t="s">
        <v>1468</v>
      </c>
      <c r="B19" s="212" t="s">
        <v>1469</v>
      </c>
    </row>
    <row r="20" spans="1:2" hidden="1">
      <c r="A20" s="211" t="s">
        <v>1470</v>
      </c>
      <c r="B20" s="212" t="s">
        <v>1471</v>
      </c>
    </row>
    <row r="21" spans="1:2" hidden="1">
      <c r="A21" s="211" t="s">
        <v>1472</v>
      </c>
      <c r="B21" s="212" t="s">
        <v>1473</v>
      </c>
    </row>
    <row r="22" spans="1:2" hidden="1">
      <c r="A22" s="211" t="s">
        <v>1474</v>
      </c>
      <c r="B22" s="212" t="s">
        <v>1475</v>
      </c>
    </row>
    <row r="23" spans="1:2" hidden="1">
      <c r="A23" s="211" t="s">
        <v>1476</v>
      </c>
      <c r="B23" s="212" t="s">
        <v>1477</v>
      </c>
    </row>
    <row r="24" spans="1:2" hidden="1">
      <c r="A24" s="211" t="s">
        <v>1478</v>
      </c>
      <c r="B24" s="212" t="s">
        <v>1479</v>
      </c>
    </row>
    <row r="25" spans="1:2" hidden="1">
      <c r="A25" s="211" t="s">
        <v>1480</v>
      </c>
      <c r="B25" s="212" t="s">
        <v>1481</v>
      </c>
    </row>
    <row r="26" spans="1:2" hidden="1">
      <c r="A26" s="211" t="s">
        <v>1482</v>
      </c>
      <c r="B26" s="212" t="s">
        <v>1483</v>
      </c>
    </row>
    <row r="27" spans="1:2" hidden="1">
      <c r="A27" s="211" t="s">
        <v>1484</v>
      </c>
      <c r="B27" s="212" t="s">
        <v>1485</v>
      </c>
    </row>
    <row r="28" spans="1:2" hidden="1">
      <c r="A28" s="211" t="s">
        <v>1486</v>
      </c>
      <c r="B28" s="212" t="s">
        <v>1487</v>
      </c>
    </row>
    <row r="29" spans="1:2" hidden="1">
      <c r="A29" s="211" t="s">
        <v>1488</v>
      </c>
      <c r="B29" s="212" t="s">
        <v>1489</v>
      </c>
    </row>
    <row r="30" spans="1:2" hidden="1">
      <c r="A30" s="211" t="s">
        <v>1490</v>
      </c>
      <c r="B30" s="212" t="s">
        <v>1491</v>
      </c>
    </row>
    <row r="31" spans="1:2" hidden="1">
      <c r="A31" s="211" t="s">
        <v>1584</v>
      </c>
      <c r="B31" s="212" t="s">
        <v>1585</v>
      </c>
    </row>
    <row r="32" spans="1:2" hidden="1">
      <c r="A32" s="211" t="s">
        <v>1586</v>
      </c>
      <c r="B32" s="212" t="s">
        <v>1587</v>
      </c>
    </row>
    <row r="33" spans="1:2" hidden="1">
      <c r="A33" s="210" t="s">
        <v>1199</v>
      </c>
      <c r="B33" s="213" t="s">
        <v>1200</v>
      </c>
    </row>
    <row r="34" spans="1:2" hidden="1">
      <c r="A34" s="210" t="s">
        <v>1233</v>
      </c>
      <c r="B34" s="213" t="s">
        <v>811</v>
      </c>
    </row>
    <row r="35" spans="1:2" hidden="1">
      <c r="A35" s="211" t="s">
        <v>1492</v>
      </c>
      <c r="B35" s="212" t="s">
        <v>1493</v>
      </c>
    </row>
    <row r="36" spans="1:2" hidden="1">
      <c r="A36" s="211" t="s">
        <v>1494</v>
      </c>
      <c r="B36" s="212" t="s">
        <v>1495</v>
      </c>
    </row>
    <row r="37" spans="1:2" hidden="1">
      <c r="A37" s="211" t="s">
        <v>1496</v>
      </c>
      <c r="B37" s="212" t="s">
        <v>1497</v>
      </c>
    </row>
    <row r="38" spans="1:2" hidden="1">
      <c r="A38" s="211" t="s">
        <v>1498</v>
      </c>
      <c r="B38" s="212" t="s">
        <v>348</v>
      </c>
    </row>
    <row r="39" spans="1:2" hidden="1">
      <c r="A39" s="211" t="s">
        <v>1499</v>
      </c>
      <c r="B39" s="212" t="s">
        <v>1500</v>
      </c>
    </row>
    <row r="40" spans="1:2" hidden="1">
      <c r="A40" s="211" t="s">
        <v>1501</v>
      </c>
      <c r="B40" s="212" t="s">
        <v>1502</v>
      </c>
    </row>
    <row r="41" spans="1:2" hidden="1">
      <c r="A41" s="211" t="s">
        <v>1503</v>
      </c>
      <c r="B41" s="212" t="s">
        <v>1504</v>
      </c>
    </row>
    <row r="42" spans="1:2" hidden="1">
      <c r="A42" s="211" t="s">
        <v>1505</v>
      </c>
      <c r="B42" s="212" t="s">
        <v>1506</v>
      </c>
    </row>
    <row r="43" spans="1:2" hidden="1">
      <c r="A43" s="211" t="s">
        <v>1507</v>
      </c>
      <c r="B43" s="212" t="s">
        <v>1508</v>
      </c>
    </row>
    <row r="44" spans="1:2">
      <c r="A44" s="209" t="s">
        <v>51</v>
      </c>
      <c r="B44" s="214" t="s">
        <v>52</v>
      </c>
    </row>
    <row r="45" spans="1:2">
      <c r="A45" s="210" t="s">
        <v>49</v>
      </c>
      <c r="B45" s="213" t="s">
        <v>50</v>
      </c>
    </row>
    <row r="46" spans="1:2">
      <c r="A46" s="210" t="s">
        <v>99</v>
      </c>
      <c r="B46" s="213" t="s">
        <v>2308</v>
      </c>
    </row>
    <row r="47" spans="1:2">
      <c r="A47" s="211" t="s">
        <v>828</v>
      </c>
      <c r="B47" s="212" t="s">
        <v>829</v>
      </c>
    </row>
    <row r="48" spans="1:2">
      <c r="A48" s="211" t="s">
        <v>830</v>
      </c>
      <c r="B48" s="212" t="s">
        <v>831</v>
      </c>
    </row>
    <row r="49" spans="1:2">
      <c r="A49" s="211" t="s">
        <v>832</v>
      </c>
      <c r="B49" s="212" t="s">
        <v>833</v>
      </c>
    </row>
    <row r="50" spans="1:2">
      <c r="A50" s="211" t="s">
        <v>834</v>
      </c>
      <c r="B50" s="212" t="s">
        <v>835</v>
      </c>
    </row>
    <row r="51" spans="1:2">
      <c r="A51" s="211" t="s">
        <v>836</v>
      </c>
      <c r="B51" s="212" t="s">
        <v>837</v>
      </c>
    </row>
    <row r="52" spans="1:2">
      <c r="A52" s="211" t="s">
        <v>838</v>
      </c>
      <c r="B52" s="212" t="s">
        <v>839</v>
      </c>
    </row>
    <row r="53" spans="1:2">
      <c r="A53" s="211" t="s">
        <v>840</v>
      </c>
      <c r="B53" s="212" t="s">
        <v>841</v>
      </c>
    </row>
    <row r="54" spans="1:2">
      <c r="A54" s="211" t="s">
        <v>842</v>
      </c>
      <c r="B54" s="212" t="s">
        <v>843</v>
      </c>
    </row>
    <row r="55" spans="1:2">
      <c r="A55" s="211" t="s">
        <v>844</v>
      </c>
      <c r="B55" s="212" t="s">
        <v>845</v>
      </c>
    </row>
    <row r="56" spans="1:2">
      <c r="A56" s="211" t="s">
        <v>1588</v>
      </c>
      <c r="B56" s="212" t="s">
        <v>1589</v>
      </c>
    </row>
    <row r="57" spans="1:2">
      <c r="A57" s="211" t="s">
        <v>1590</v>
      </c>
      <c r="B57" s="212" t="s">
        <v>1591</v>
      </c>
    </row>
    <row r="58" spans="1:2">
      <c r="A58" s="211" t="s">
        <v>1592</v>
      </c>
      <c r="B58" s="212" t="s">
        <v>1593</v>
      </c>
    </row>
    <row r="59" spans="1:2">
      <c r="A59" s="211" t="s">
        <v>1594</v>
      </c>
      <c r="B59" s="212" t="s">
        <v>1595</v>
      </c>
    </row>
    <row r="60" spans="1:2">
      <c r="A60" s="211" t="s">
        <v>1596</v>
      </c>
      <c r="B60" s="212" t="s">
        <v>1597</v>
      </c>
    </row>
    <row r="61" spans="1:2">
      <c r="A61" s="211" t="s">
        <v>1598</v>
      </c>
      <c r="B61" s="212" t="s">
        <v>1599</v>
      </c>
    </row>
    <row r="62" spans="1:2">
      <c r="A62" s="211" t="s">
        <v>1600</v>
      </c>
      <c r="B62" s="212" t="s">
        <v>1601</v>
      </c>
    </row>
    <row r="63" spans="1:2">
      <c r="A63" s="211" t="s">
        <v>1602</v>
      </c>
      <c r="B63" s="212" t="s">
        <v>1603</v>
      </c>
    </row>
    <row r="64" spans="1:2">
      <c r="A64" s="211" t="s">
        <v>1604</v>
      </c>
      <c r="B64" s="212" t="s">
        <v>1605</v>
      </c>
    </row>
    <row r="65" spans="1:2">
      <c r="A65" s="211" t="s">
        <v>1606</v>
      </c>
      <c r="B65" s="212" t="s">
        <v>1607</v>
      </c>
    </row>
    <row r="66" spans="1:2">
      <c r="A66" s="211" t="s">
        <v>1608</v>
      </c>
      <c r="B66" s="212" t="s">
        <v>1609</v>
      </c>
    </row>
    <row r="67" spans="1:2">
      <c r="A67" s="211" t="s">
        <v>1610</v>
      </c>
      <c r="B67" s="212" t="s">
        <v>1611</v>
      </c>
    </row>
    <row r="68" spans="1:2">
      <c r="A68" s="211" t="s">
        <v>1612</v>
      </c>
      <c r="B68" s="212" t="s">
        <v>1613</v>
      </c>
    </row>
    <row r="69" spans="1:2">
      <c r="A69" s="211" t="s">
        <v>1614</v>
      </c>
      <c r="B69" s="212" t="s">
        <v>1615</v>
      </c>
    </row>
    <row r="70" spans="1:2">
      <c r="A70" s="211" t="s">
        <v>1616</v>
      </c>
      <c r="B70" s="212" t="s">
        <v>1617</v>
      </c>
    </row>
    <row r="71" spans="1:2">
      <c r="A71" s="210" t="s">
        <v>124</v>
      </c>
      <c r="B71" s="213" t="s">
        <v>2309</v>
      </c>
    </row>
    <row r="72" spans="1:2">
      <c r="A72" s="211" t="s">
        <v>846</v>
      </c>
      <c r="B72" s="212" t="s">
        <v>847</v>
      </c>
    </row>
    <row r="73" spans="1:2">
      <c r="A73" s="211" t="s">
        <v>848</v>
      </c>
      <c r="B73" s="212" t="s">
        <v>849</v>
      </c>
    </row>
    <row r="74" spans="1:2">
      <c r="A74" s="211" t="s">
        <v>850</v>
      </c>
      <c r="B74" s="212" t="s">
        <v>851</v>
      </c>
    </row>
    <row r="75" spans="1:2">
      <c r="A75" s="211" t="s">
        <v>852</v>
      </c>
      <c r="B75" s="212" t="s">
        <v>853</v>
      </c>
    </row>
    <row r="76" spans="1:2">
      <c r="A76" s="211" t="s">
        <v>854</v>
      </c>
      <c r="B76" s="212" t="s">
        <v>855</v>
      </c>
    </row>
    <row r="77" spans="1:2">
      <c r="A77" s="211" t="s">
        <v>856</v>
      </c>
      <c r="B77" s="212" t="s">
        <v>857</v>
      </c>
    </row>
    <row r="78" spans="1:2">
      <c r="A78" s="211" t="s">
        <v>858</v>
      </c>
      <c r="B78" s="212" t="s">
        <v>859</v>
      </c>
    </row>
    <row r="79" spans="1:2">
      <c r="A79" s="211" t="s">
        <v>860</v>
      </c>
      <c r="B79" s="212" t="s">
        <v>861</v>
      </c>
    </row>
    <row r="80" spans="1:2">
      <c r="A80" s="211" t="s">
        <v>862</v>
      </c>
      <c r="B80" s="212" t="s">
        <v>863</v>
      </c>
    </row>
    <row r="81" spans="1:2">
      <c r="A81" s="211" t="s">
        <v>864</v>
      </c>
      <c r="B81" s="212" t="s">
        <v>865</v>
      </c>
    </row>
    <row r="82" spans="1:2">
      <c r="A82" s="211" t="s">
        <v>866</v>
      </c>
      <c r="B82" s="212" t="s">
        <v>867</v>
      </c>
    </row>
    <row r="83" spans="1:2">
      <c r="A83" s="211" t="s">
        <v>868</v>
      </c>
      <c r="B83" s="212" t="s">
        <v>869</v>
      </c>
    </row>
    <row r="84" spans="1:2">
      <c r="A84" s="211" t="s">
        <v>870</v>
      </c>
      <c r="B84" s="212" t="s">
        <v>871</v>
      </c>
    </row>
    <row r="85" spans="1:2">
      <c r="A85" s="211" t="s">
        <v>872</v>
      </c>
      <c r="B85" s="212" t="s">
        <v>873</v>
      </c>
    </row>
    <row r="86" spans="1:2">
      <c r="A86" s="211" t="s">
        <v>874</v>
      </c>
      <c r="B86" s="212" t="s">
        <v>875</v>
      </c>
    </row>
    <row r="87" spans="1:2">
      <c r="A87" s="211" t="s">
        <v>876</v>
      </c>
      <c r="B87" s="212" t="s">
        <v>877</v>
      </c>
    </row>
    <row r="88" spans="1:2">
      <c r="A88" s="211" t="s">
        <v>878</v>
      </c>
      <c r="B88" s="212" t="s">
        <v>879</v>
      </c>
    </row>
    <row r="89" spans="1:2">
      <c r="A89" s="211" t="s">
        <v>880</v>
      </c>
      <c r="B89" s="212" t="s">
        <v>881</v>
      </c>
    </row>
    <row r="90" spans="1:2">
      <c r="A90" s="211" t="s">
        <v>882</v>
      </c>
      <c r="B90" s="212" t="s">
        <v>883</v>
      </c>
    </row>
    <row r="91" spans="1:2">
      <c r="A91" s="211" t="s">
        <v>884</v>
      </c>
      <c r="B91" s="212" t="s">
        <v>885</v>
      </c>
    </row>
    <row r="92" spans="1:2">
      <c r="A92" s="211" t="s">
        <v>886</v>
      </c>
      <c r="B92" s="212" t="s">
        <v>887</v>
      </c>
    </row>
    <row r="93" spans="1:2">
      <c r="A93" s="211" t="s">
        <v>888</v>
      </c>
      <c r="B93" s="212" t="s">
        <v>889</v>
      </c>
    </row>
    <row r="94" spans="1:2">
      <c r="A94" s="211" t="s">
        <v>890</v>
      </c>
      <c r="B94" s="212" t="s">
        <v>891</v>
      </c>
    </row>
    <row r="95" spans="1:2">
      <c r="A95" s="211" t="s">
        <v>1618</v>
      </c>
      <c r="B95" s="212" t="s">
        <v>1619</v>
      </c>
    </row>
    <row r="96" spans="1:2">
      <c r="A96" s="211" t="s">
        <v>1620</v>
      </c>
      <c r="B96" s="212" t="s">
        <v>1621</v>
      </c>
    </row>
    <row r="97" spans="1:2">
      <c r="A97" s="211" t="s">
        <v>1622</v>
      </c>
      <c r="B97" s="212" t="s">
        <v>1623</v>
      </c>
    </row>
    <row r="98" spans="1:2">
      <c r="A98" s="211" t="s">
        <v>1624</v>
      </c>
      <c r="B98" s="212" t="s">
        <v>1625</v>
      </c>
    </row>
    <row r="99" spans="1:2">
      <c r="A99" s="211" t="s">
        <v>1626</v>
      </c>
      <c r="B99" s="212" t="s">
        <v>1627</v>
      </c>
    </row>
    <row r="100" spans="1:2">
      <c r="A100" s="211" t="s">
        <v>1628</v>
      </c>
      <c r="B100" s="212" t="s">
        <v>1629</v>
      </c>
    </row>
    <row r="101" spans="1:2">
      <c r="A101" s="211" t="s">
        <v>1630</v>
      </c>
      <c r="B101" s="212" t="s">
        <v>1631</v>
      </c>
    </row>
    <row r="102" spans="1:2">
      <c r="A102" s="211" t="s">
        <v>1632</v>
      </c>
      <c r="B102" s="212" t="s">
        <v>1633</v>
      </c>
    </row>
    <row r="103" spans="1:2">
      <c r="A103" s="211" t="s">
        <v>1634</v>
      </c>
      <c r="B103" s="212" t="s">
        <v>1635</v>
      </c>
    </row>
    <row r="104" spans="1:2">
      <c r="A104" s="211" t="s">
        <v>1636</v>
      </c>
      <c r="B104" s="212" t="s">
        <v>1637</v>
      </c>
    </row>
    <row r="105" spans="1:2">
      <c r="A105" s="211" t="s">
        <v>1638</v>
      </c>
      <c r="B105" s="212" t="s">
        <v>1639</v>
      </c>
    </row>
    <row r="106" spans="1:2">
      <c r="A106" s="211" t="s">
        <v>1640</v>
      </c>
      <c r="B106" s="212" t="s">
        <v>1641</v>
      </c>
    </row>
    <row r="107" spans="1:2">
      <c r="A107" s="211" t="s">
        <v>1642</v>
      </c>
      <c r="B107" s="212" t="s">
        <v>1643</v>
      </c>
    </row>
    <row r="108" spans="1:2">
      <c r="A108" s="211" t="s">
        <v>1644</v>
      </c>
      <c r="B108" s="212" t="s">
        <v>1645</v>
      </c>
    </row>
    <row r="109" spans="1:2">
      <c r="A109" s="211" t="s">
        <v>1646</v>
      </c>
      <c r="B109" s="212" t="s">
        <v>1647</v>
      </c>
    </row>
    <row r="110" spans="1:2">
      <c r="A110" s="211" t="s">
        <v>1648</v>
      </c>
      <c r="B110" s="212" t="s">
        <v>1649</v>
      </c>
    </row>
    <row r="111" spans="1:2">
      <c r="A111" s="211" t="s">
        <v>1650</v>
      </c>
      <c r="B111" s="212" t="s">
        <v>1651</v>
      </c>
    </row>
    <row r="112" spans="1:2">
      <c r="A112" s="211" t="s">
        <v>1652</v>
      </c>
      <c r="B112" s="212" t="s">
        <v>1653</v>
      </c>
    </row>
    <row r="113" spans="1:2">
      <c r="A113" s="211" t="s">
        <v>1654</v>
      </c>
      <c r="B113" s="212" t="s">
        <v>1655</v>
      </c>
    </row>
    <row r="114" spans="1:2">
      <c r="A114" s="211" t="s">
        <v>1656</v>
      </c>
      <c r="B114" s="212" t="s">
        <v>1657</v>
      </c>
    </row>
    <row r="115" spans="1:2">
      <c r="A115" s="211" t="s">
        <v>1658</v>
      </c>
      <c r="B115" s="212" t="s">
        <v>1659</v>
      </c>
    </row>
    <row r="116" spans="1:2">
      <c r="A116" s="211" t="s">
        <v>1660</v>
      </c>
      <c r="B116" s="212" t="s">
        <v>1661</v>
      </c>
    </row>
    <row r="117" spans="1:2">
      <c r="A117" s="211" t="s">
        <v>1662</v>
      </c>
      <c r="B117" s="212" t="s">
        <v>1663</v>
      </c>
    </row>
    <row r="118" spans="1:2">
      <c r="A118" s="211" t="s">
        <v>1664</v>
      </c>
      <c r="B118" s="212" t="s">
        <v>1665</v>
      </c>
    </row>
    <row r="119" spans="1:2">
      <c r="A119" s="211" t="s">
        <v>1666</v>
      </c>
      <c r="B119" s="212" t="s">
        <v>1667</v>
      </c>
    </row>
    <row r="120" spans="1:2">
      <c r="A120" s="211" t="s">
        <v>1668</v>
      </c>
      <c r="B120" s="212" t="s">
        <v>1669</v>
      </c>
    </row>
    <row r="121" spans="1:2">
      <c r="A121" s="211" t="s">
        <v>1670</v>
      </c>
      <c r="B121" s="212" t="s">
        <v>1671</v>
      </c>
    </row>
    <row r="122" spans="1:2">
      <c r="A122" s="211" t="s">
        <v>1672</v>
      </c>
      <c r="B122" s="212" t="s">
        <v>1673</v>
      </c>
    </row>
    <row r="123" spans="1:2">
      <c r="A123" s="211" t="s">
        <v>1674</v>
      </c>
      <c r="B123" s="212" t="s">
        <v>1675</v>
      </c>
    </row>
    <row r="124" spans="1:2">
      <c r="A124" s="211" t="s">
        <v>1676</v>
      </c>
      <c r="B124" s="212" t="s">
        <v>1677</v>
      </c>
    </row>
    <row r="125" spans="1:2">
      <c r="A125" s="211" t="s">
        <v>1678</v>
      </c>
      <c r="B125" s="212" t="s">
        <v>1679</v>
      </c>
    </row>
    <row r="126" spans="1:2">
      <c r="A126" s="211" t="s">
        <v>1680</v>
      </c>
      <c r="B126" s="212" t="s">
        <v>1681</v>
      </c>
    </row>
    <row r="127" spans="1:2">
      <c r="A127" s="211" t="s">
        <v>1682</v>
      </c>
      <c r="B127" s="212" t="s">
        <v>1683</v>
      </c>
    </row>
    <row r="128" spans="1:2">
      <c r="A128" s="211" t="s">
        <v>1684</v>
      </c>
      <c r="B128" s="212" t="s">
        <v>1685</v>
      </c>
    </row>
    <row r="129" spans="1:2">
      <c r="A129" s="211" t="s">
        <v>1686</v>
      </c>
      <c r="B129" s="212" t="s">
        <v>1687</v>
      </c>
    </row>
    <row r="130" spans="1:2">
      <c r="A130" s="211" t="s">
        <v>1688</v>
      </c>
      <c r="B130" s="212" t="s">
        <v>1689</v>
      </c>
    </row>
    <row r="131" spans="1:2">
      <c r="A131" s="211" t="s">
        <v>1690</v>
      </c>
      <c r="B131" s="212" t="s">
        <v>1691</v>
      </c>
    </row>
    <row r="132" spans="1:2">
      <c r="A132" s="211" t="s">
        <v>1692</v>
      </c>
      <c r="B132" s="212" t="s">
        <v>1693</v>
      </c>
    </row>
    <row r="133" spans="1:2">
      <c r="A133" s="211" t="s">
        <v>1694</v>
      </c>
      <c r="B133" s="212" t="s">
        <v>1695</v>
      </c>
    </row>
    <row r="134" spans="1:2">
      <c r="A134" s="211" t="s">
        <v>1696</v>
      </c>
      <c r="B134" s="212" t="s">
        <v>1697</v>
      </c>
    </row>
    <row r="135" spans="1:2">
      <c r="A135" s="211" t="s">
        <v>1698</v>
      </c>
      <c r="B135" s="212" t="s">
        <v>1699</v>
      </c>
    </row>
    <row r="136" spans="1:2">
      <c r="A136" s="211" t="s">
        <v>1700</v>
      </c>
      <c r="B136" s="212" t="s">
        <v>1701</v>
      </c>
    </row>
    <row r="137" spans="1:2">
      <c r="A137" s="210" t="s">
        <v>131</v>
      </c>
      <c r="B137" s="213" t="s">
        <v>2310</v>
      </c>
    </row>
    <row r="138" spans="1:2">
      <c r="A138" s="211" t="s">
        <v>892</v>
      </c>
      <c r="B138" s="212" t="s">
        <v>893</v>
      </c>
    </row>
    <row r="139" spans="1:2">
      <c r="A139" s="211" t="s">
        <v>894</v>
      </c>
      <c r="B139" s="212" t="s">
        <v>895</v>
      </c>
    </row>
    <row r="140" spans="1:2">
      <c r="A140" s="211" t="s">
        <v>896</v>
      </c>
      <c r="B140" s="212" t="s">
        <v>897</v>
      </c>
    </row>
    <row r="141" spans="1:2">
      <c r="A141" s="211" t="s">
        <v>898</v>
      </c>
      <c r="B141" s="212" t="s">
        <v>899</v>
      </c>
    </row>
    <row r="142" spans="1:2">
      <c r="A142" s="211" t="s">
        <v>900</v>
      </c>
      <c r="B142" s="212" t="s">
        <v>901</v>
      </c>
    </row>
    <row r="143" spans="1:2">
      <c r="A143" s="211" t="s">
        <v>902</v>
      </c>
      <c r="B143" s="212" t="s">
        <v>903</v>
      </c>
    </row>
    <row r="144" spans="1:2">
      <c r="A144" s="211" t="s">
        <v>904</v>
      </c>
      <c r="B144" s="212" t="s">
        <v>905</v>
      </c>
    </row>
    <row r="145" spans="1:2">
      <c r="A145" s="211" t="s">
        <v>906</v>
      </c>
      <c r="B145" s="212" t="s">
        <v>907</v>
      </c>
    </row>
    <row r="146" spans="1:2">
      <c r="A146" s="211" t="s">
        <v>1702</v>
      </c>
      <c r="B146" s="212" t="s">
        <v>1703</v>
      </c>
    </row>
    <row r="147" spans="1:2">
      <c r="A147" s="211" t="s">
        <v>1704</v>
      </c>
      <c r="B147" s="212" t="s">
        <v>1705</v>
      </c>
    </row>
    <row r="148" spans="1:2">
      <c r="A148" s="211" t="s">
        <v>1706</v>
      </c>
      <c r="B148" s="212" t="s">
        <v>1707</v>
      </c>
    </row>
    <row r="149" spans="1:2">
      <c r="A149" s="211" t="s">
        <v>1708</v>
      </c>
      <c r="B149" s="212" t="s">
        <v>1709</v>
      </c>
    </row>
    <row r="150" spans="1:2">
      <c r="A150" s="211" t="s">
        <v>1710</v>
      </c>
      <c r="B150" s="212" t="s">
        <v>1711</v>
      </c>
    </row>
    <row r="151" spans="1:2">
      <c r="A151" s="210" t="s">
        <v>137</v>
      </c>
      <c r="B151" s="213" t="s">
        <v>2311</v>
      </c>
    </row>
    <row r="152" spans="1:2">
      <c r="A152" s="211" t="s">
        <v>908</v>
      </c>
      <c r="B152" s="212" t="s">
        <v>909</v>
      </c>
    </row>
    <row r="153" spans="1:2">
      <c r="A153" s="211" t="s">
        <v>910</v>
      </c>
      <c r="B153" s="212" t="s">
        <v>911</v>
      </c>
    </row>
    <row r="154" spans="1:2">
      <c r="A154" s="211" t="s">
        <v>912</v>
      </c>
      <c r="B154" s="212" t="s">
        <v>913</v>
      </c>
    </row>
    <row r="155" spans="1:2">
      <c r="A155" s="211" t="s">
        <v>914</v>
      </c>
      <c r="B155" s="212" t="s">
        <v>915</v>
      </c>
    </row>
    <row r="156" spans="1:2">
      <c r="A156" s="211" t="s">
        <v>916</v>
      </c>
      <c r="B156" s="212" t="s">
        <v>917</v>
      </c>
    </row>
    <row r="157" spans="1:2">
      <c r="A157" s="211" t="s">
        <v>918</v>
      </c>
      <c r="B157" s="212" t="s">
        <v>919</v>
      </c>
    </row>
    <row r="158" spans="1:2">
      <c r="A158" s="211" t="s">
        <v>920</v>
      </c>
      <c r="B158" s="212" t="s">
        <v>921</v>
      </c>
    </row>
    <row r="159" spans="1:2">
      <c r="A159" s="211" t="s">
        <v>922</v>
      </c>
      <c r="B159" s="212" t="s">
        <v>923</v>
      </c>
    </row>
    <row r="160" spans="1:2">
      <c r="A160" s="211" t="s">
        <v>1712</v>
      </c>
      <c r="B160" s="212" t="s">
        <v>1713</v>
      </c>
    </row>
    <row r="161" spans="1:2">
      <c r="A161" s="211" t="s">
        <v>1714</v>
      </c>
      <c r="B161" s="212" t="s">
        <v>1715</v>
      </c>
    </row>
    <row r="162" spans="1:2">
      <c r="A162" s="210" t="s">
        <v>139</v>
      </c>
      <c r="B162" s="213" t="s">
        <v>2312</v>
      </c>
    </row>
    <row r="163" spans="1:2">
      <c r="A163" s="211" t="s">
        <v>924</v>
      </c>
      <c r="B163" s="212" t="s">
        <v>925</v>
      </c>
    </row>
    <row r="164" spans="1:2">
      <c r="A164" s="211" t="s">
        <v>926</v>
      </c>
      <c r="B164" s="212" t="s">
        <v>927</v>
      </c>
    </row>
    <row r="165" spans="1:2">
      <c r="A165" s="211" t="s">
        <v>928</v>
      </c>
      <c r="B165" s="212" t="s">
        <v>929</v>
      </c>
    </row>
    <row r="166" spans="1:2">
      <c r="A166" s="210" t="s">
        <v>141</v>
      </c>
      <c r="B166" s="213" t="s">
        <v>2313</v>
      </c>
    </row>
    <row r="167" spans="1:2">
      <c r="A167" s="211" t="s">
        <v>930</v>
      </c>
      <c r="B167" s="212" t="s">
        <v>931</v>
      </c>
    </row>
    <row r="168" spans="1:2">
      <c r="A168" s="211" t="s">
        <v>932</v>
      </c>
      <c r="B168" s="212" t="s">
        <v>933</v>
      </c>
    </row>
    <row r="169" spans="1:2">
      <c r="A169" s="211" t="s">
        <v>934</v>
      </c>
      <c r="B169" s="212" t="s">
        <v>935</v>
      </c>
    </row>
    <row r="170" spans="1:2">
      <c r="A170" s="211" t="s">
        <v>936</v>
      </c>
      <c r="B170" s="212" t="s">
        <v>937</v>
      </c>
    </row>
    <row r="171" spans="1:2">
      <c r="A171" s="211" t="s">
        <v>938</v>
      </c>
      <c r="B171" s="212" t="s">
        <v>939</v>
      </c>
    </row>
    <row r="172" spans="1:2">
      <c r="A172" s="211" t="s">
        <v>940</v>
      </c>
      <c r="B172" s="212" t="s">
        <v>941</v>
      </c>
    </row>
    <row r="173" spans="1:2">
      <c r="A173" s="211" t="s">
        <v>942</v>
      </c>
      <c r="B173" s="212" t="s">
        <v>943</v>
      </c>
    </row>
    <row r="174" spans="1:2">
      <c r="A174" s="211" t="s">
        <v>944</v>
      </c>
      <c r="B174" s="212" t="s">
        <v>945</v>
      </c>
    </row>
    <row r="175" spans="1:2">
      <c r="A175" s="211" t="s">
        <v>946</v>
      </c>
      <c r="B175" s="212" t="s">
        <v>947</v>
      </c>
    </row>
    <row r="176" spans="1:2">
      <c r="A176" s="211" t="s">
        <v>948</v>
      </c>
      <c r="B176" s="212" t="s">
        <v>949</v>
      </c>
    </row>
    <row r="177" spans="1:2">
      <c r="A177" s="211" t="s">
        <v>950</v>
      </c>
      <c r="B177" s="212" t="s">
        <v>951</v>
      </c>
    </row>
    <row r="178" spans="1:2" ht="22.5">
      <c r="A178" s="211" t="s">
        <v>952</v>
      </c>
      <c r="B178" s="212" t="s">
        <v>953</v>
      </c>
    </row>
    <row r="179" spans="1:2">
      <c r="A179" s="211" t="s">
        <v>954</v>
      </c>
      <c r="B179" s="212" t="s">
        <v>955</v>
      </c>
    </row>
    <row r="180" spans="1:2">
      <c r="A180" s="211" t="s">
        <v>956</v>
      </c>
      <c r="B180" s="212" t="s">
        <v>957</v>
      </c>
    </row>
    <row r="181" spans="1:2">
      <c r="A181" s="211" t="s">
        <v>958</v>
      </c>
      <c r="B181" s="212" t="s">
        <v>959</v>
      </c>
    </row>
    <row r="182" spans="1:2">
      <c r="A182" s="211" t="s">
        <v>960</v>
      </c>
      <c r="B182" s="212" t="s">
        <v>961</v>
      </c>
    </row>
    <row r="183" spans="1:2">
      <c r="A183" s="211" t="s">
        <v>962</v>
      </c>
      <c r="B183" s="212" t="s">
        <v>963</v>
      </c>
    </row>
    <row r="184" spans="1:2">
      <c r="A184" s="211" t="s">
        <v>964</v>
      </c>
      <c r="B184" s="212" t="s">
        <v>965</v>
      </c>
    </row>
    <row r="185" spans="1:2">
      <c r="A185" s="211" t="s">
        <v>966</v>
      </c>
      <c r="B185" s="212" t="s">
        <v>967</v>
      </c>
    </row>
    <row r="186" spans="1:2">
      <c r="A186" s="211" t="s">
        <v>968</v>
      </c>
      <c r="B186" s="212" t="s">
        <v>969</v>
      </c>
    </row>
    <row r="187" spans="1:2">
      <c r="A187" s="211" t="s">
        <v>970</v>
      </c>
      <c r="B187" s="212" t="s">
        <v>971</v>
      </c>
    </row>
    <row r="188" spans="1:2">
      <c r="A188" s="211" t="s">
        <v>972</v>
      </c>
      <c r="B188" s="212" t="s">
        <v>973</v>
      </c>
    </row>
    <row r="189" spans="1:2">
      <c r="A189" s="211" t="s">
        <v>974</v>
      </c>
      <c r="B189" s="212" t="s">
        <v>975</v>
      </c>
    </row>
    <row r="190" spans="1:2">
      <c r="A190" s="211" t="s">
        <v>976</v>
      </c>
      <c r="B190" s="212" t="s">
        <v>977</v>
      </c>
    </row>
    <row r="191" spans="1:2">
      <c r="A191" s="211" t="s">
        <v>978</v>
      </c>
      <c r="B191" s="212" t="s">
        <v>979</v>
      </c>
    </row>
    <row r="192" spans="1:2">
      <c r="A192" s="211" t="s">
        <v>980</v>
      </c>
      <c r="B192" s="212" t="s">
        <v>981</v>
      </c>
    </row>
    <row r="193" spans="1:2">
      <c r="A193" s="211" t="s">
        <v>982</v>
      </c>
      <c r="B193" s="212" t="s">
        <v>983</v>
      </c>
    </row>
    <row r="194" spans="1:2">
      <c r="A194" s="211" t="s">
        <v>984</v>
      </c>
      <c r="B194" s="212" t="s">
        <v>985</v>
      </c>
    </row>
    <row r="195" spans="1:2">
      <c r="A195" s="211" t="s">
        <v>986</v>
      </c>
      <c r="B195" s="212" t="s">
        <v>985</v>
      </c>
    </row>
    <row r="196" spans="1:2">
      <c r="A196" s="211" t="s">
        <v>987</v>
      </c>
      <c r="B196" s="212" t="s">
        <v>988</v>
      </c>
    </row>
    <row r="197" spans="1:2">
      <c r="A197" s="211" t="s">
        <v>989</v>
      </c>
      <c r="B197" s="212" t="s">
        <v>990</v>
      </c>
    </row>
    <row r="198" spans="1:2">
      <c r="A198" s="211" t="s">
        <v>991</v>
      </c>
      <c r="B198" s="212" t="s">
        <v>988</v>
      </c>
    </row>
    <row r="199" spans="1:2">
      <c r="A199" s="211" t="s">
        <v>1716</v>
      </c>
      <c r="B199" s="212"/>
    </row>
    <row r="200" spans="1:2">
      <c r="A200" s="211" t="s">
        <v>1717</v>
      </c>
      <c r="B200" s="212" t="s">
        <v>1718</v>
      </c>
    </row>
    <row r="201" spans="1:2">
      <c r="A201" s="211" t="s">
        <v>1719</v>
      </c>
      <c r="B201" s="212" t="s">
        <v>1720</v>
      </c>
    </row>
    <row r="202" spans="1:2">
      <c r="A202" s="211" t="s">
        <v>1721</v>
      </c>
      <c r="B202" s="212" t="s">
        <v>1722</v>
      </c>
    </row>
    <row r="203" spans="1:2" ht="22.5">
      <c r="A203" s="211" t="s">
        <v>1723</v>
      </c>
      <c r="B203" s="212" t="s">
        <v>1724</v>
      </c>
    </row>
    <row r="204" spans="1:2">
      <c r="A204" s="211" t="s">
        <v>1725</v>
      </c>
      <c r="B204" s="212" t="s">
        <v>1726</v>
      </c>
    </row>
    <row r="205" spans="1:2">
      <c r="A205" s="211" t="s">
        <v>1727</v>
      </c>
      <c r="B205" s="212" t="s">
        <v>1728</v>
      </c>
    </row>
    <row r="206" spans="1:2">
      <c r="A206" s="211" t="s">
        <v>1729</v>
      </c>
      <c r="B206" s="212" t="s">
        <v>1730</v>
      </c>
    </row>
    <row r="207" spans="1:2">
      <c r="A207" s="211" t="s">
        <v>1731</v>
      </c>
      <c r="B207" s="212" t="s">
        <v>1732</v>
      </c>
    </row>
    <row r="208" spans="1:2">
      <c r="A208" s="211" t="s">
        <v>1733</v>
      </c>
      <c r="B208" s="212" t="s">
        <v>1734</v>
      </c>
    </row>
    <row r="209" spans="1:2">
      <c r="A209" s="211" t="s">
        <v>1735</v>
      </c>
      <c r="B209" s="212" t="s">
        <v>1736</v>
      </c>
    </row>
    <row r="210" spans="1:2">
      <c r="A210" s="211" t="s">
        <v>1737</v>
      </c>
      <c r="B210" s="212" t="s">
        <v>1738</v>
      </c>
    </row>
    <row r="211" spans="1:2">
      <c r="A211" s="211" t="s">
        <v>1739</v>
      </c>
      <c r="B211" s="212" t="s">
        <v>1740</v>
      </c>
    </row>
    <row r="212" spans="1:2">
      <c r="A212" s="211" t="s">
        <v>1741</v>
      </c>
      <c r="B212" s="212" t="s">
        <v>1742</v>
      </c>
    </row>
    <row r="213" spans="1:2">
      <c r="A213" s="211" t="s">
        <v>1743</v>
      </c>
      <c r="B213" s="212" t="s">
        <v>1744</v>
      </c>
    </row>
    <row r="214" spans="1:2">
      <c r="A214" s="211" t="s">
        <v>1745</v>
      </c>
      <c r="B214" s="212" t="s">
        <v>1746</v>
      </c>
    </row>
    <row r="215" spans="1:2">
      <c r="A215" s="211" t="s">
        <v>1747</v>
      </c>
      <c r="B215" s="212" t="s">
        <v>1748</v>
      </c>
    </row>
    <row r="216" spans="1:2">
      <c r="A216" s="211" t="s">
        <v>1749</v>
      </c>
      <c r="B216" s="212" t="s">
        <v>1750</v>
      </c>
    </row>
    <row r="217" spans="1:2">
      <c r="A217" s="211" t="s">
        <v>1751</v>
      </c>
      <c r="B217" s="212" t="s">
        <v>1752</v>
      </c>
    </row>
    <row r="218" spans="1:2">
      <c r="A218" s="211" t="s">
        <v>1753</v>
      </c>
      <c r="B218" s="212" t="s">
        <v>1754</v>
      </c>
    </row>
    <row r="219" spans="1:2">
      <c r="A219" s="211" t="s">
        <v>1755</v>
      </c>
      <c r="B219" s="212" t="s">
        <v>1756</v>
      </c>
    </row>
    <row r="220" spans="1:2">
      <c r="A220" s="211" t="s">
        <v>1757</v>
      </c>
      <c r="B220" s="212" t="s">
        <v>1758</v>
      </c>
    </row>
    <row r="221" spans="1:2">
      <c r="A221" s="211" t="s">
        <v>1759</v>
      </c>
      <c r="B221" s="212" t="s">
        <v>1760</v>
      </c>
    </row>
    <row r="222" spans="1:2">
      <c r="A222" s="211" t="s">
        <v>1761</v>
      </c>
      <c r="B222" s="212" t="s">
        <v>1762</v>
      </c>
    </row>
    <row r="223" spans="1:2">
      <c r="A223" s="211" t="s">
        <v>1763</v>
      </c>
      <c r="B223" s="212" t="s">
        <v>1764</v>
      </c>
    </row>
    <row r="224" spans="1:2">
      <c r="A224" s="211" t="s">
        <v>1765</v>
      </c>
      <c r="B224" s="212" t="s">
        <v>1766</v>
      </c>
    </row>
    <row r="225" spans="1:2">
      <c r="A225" s="211" t="s">
        <v>1767</v>
      </c>
      <c r="B225" s="212" t="s">
        <v>1768</v>
      </c>
    </row>
    <row r="226" spans="1:2">
      <c r="A226" s="211" t="s">
        <v>1769</v>
      </c>
      <c r="B226" s="212" t="s">
        <v>1770</v>
      </c>
    </row>
    <row r="227" spans="1:2">
      <c r="A227" s="211" t="s">
        <v>1771</v>
      </c>
      <c r="B227" s="212" t="s">
        <v>1772</v>
      </c>
    </row>
    <row r="228" spans="1:2">
      <c r="A228" s="211" t="s">
        <v>1773</v>
      </c>
      <c r="B228" s="212" t="s">
        <v>1774</v>
      </c>
    </row>
    <row r="229" spans="1:2">
      <c r="A229" s="211" t="s">
        <v>1775</v>
      </c>
      <c r="B229" s="212" t="s">
        <v>1776</v>
      </c>
    </row>
    <row r="230" spans="1:2">
      <c r="A230" s="211" t="s">
        <v>1777</v>
      </c>
      <c r="B230" s="212" t="s">
        <v>1778</v>
      </c>
    </row>
    <row r="231" spans="1:2">
      <c r="A231" s="210" t="s">
        <v>145</v>
      </c>
      <c r="B231" s="213" t="s">
        <v>2314</v>
      </c>
    </row>
    <row r="232" spans="1:2">
      <c r="A232" s="211" t="s">
        <v>992</v>
      </c>
      <c r="B232" s="212" t="s">
        <v>993</v>
      </c>
    </row>
    <row r="233" spans="1:2">
      <c r="A233" s="211" t="s">
        <v>994</v>
      </c>
      <c r="B233" s="212" t="s">
        <v>995</v>
      </c>
    </row>
    <row r="234" spans="1:2">
      <c r="A234" s="211" t="s">
        <v>996</v>
      </c>
      <c r="B234" s="212" t="s">
        <v>997</v>
      </c>
    </row>
    <row r="235" spans="1:2">
      <c r="A235" s="211" t="s">
        <v>998</v>
      </c>
      <c r="B235" s="212" t="s">
        <v>999</v>
      </c>
    </row>
    <row r="236" spans="1:2">
      <c r="A236" s="211" t="s">
        <v>1000</v>
      </c>
      <c r="B236" s="212" t="s">
        <v>1001</v>
      </c>
    </row>
    <row r="237" spans="1:2">
      <c r="A237" s="211" t="s">
        <v>1002</v>
      </c>
      <c r="B237" s="212" t="s">
        <v>1003</v>
      </c>
    </row>
    <row r="238" spans="1:2">
      <c r="A238" s="211" t="s">
        <v>1004</v>
      </c>
      <c r="B238" s="212" t="s">
        <v>1005</v>
      </c>
    </row>
    <row r="239" spans="1:2">
      <c r="A239" s="211" t="s">
        <v>1006</v>
      </c>
      <c r="B239" s="212" t="s">
        <v>1007</v>
      </c>
    </row>
    <row r="240" spans="1:2">
      <c r="A240" s="211" t="s">
        <v>1008</v>
      </c>
      <c r="B240" s="212" t="s">
        <v>1009</v>
      </c>
    </row>
    <row r="241" spans="1:2">
      <c r="A241" s="211" t="s">
        <v>1010</v>
      </c>
      <c r="B241" s="212" t="s">
        <v>1011</v>
      </c>
    </row>
    <row r="242" spans="1:2">
      <c r="A242" s="211" t="s">
        <v>1012</v>
      </c>
      <c r="B242" s="212" t="s">
        <v>1013</v>
      </c>
    </row>
    <row r="243" spans="1:2">
      <c r="A243" s="211" t="s">
        <v>1014</v>
      </c>
      <c r="B243" s="212" t="s">
        <v>1015</v>
      </c>
    </row>
    <row r="244" spans="1:2">
      <c r="A244" s="211" t="s">
        <v>1016</v>
      </c>
      <c r="B244" s="212" t="s">
        <v>1017</v>
      </c>
    </row>
    <row r="245" spans="1:2">
      <c r="A245" s="211" t="s">
        <v>1018</v>
      </c>
      <c r="B245" s="212" t="s">
        <v>1019</v>
      </c>
    </row>
    <row r="246" spans="1:2">
      <c r="A246" s="211" t="s">
        <v>1020</v>
      </c>
      <c r="B246" s="212" t="s">
        <v>1021</v>
      </c>
    </row>
    <row r="247" spans="1:2">
      <c r="A247" s="211" t="s">
        <v>1022</v>
      </c>
      <c r="B247" s="212" t="s">
        <v>1023</v>
      </c>
    </row>
    <row r="248" spans="1:2">
      <c r="A248" s="211" t="s">
        <v>1024</v>
      </c>
      <c r="B248" s="212" t="s">
        <v>1025</v>
      </c>
    </row>
    <row r="249" spans="1:2">
      <c r="A249" s="211" t="s">
        <v>1026</v>
      </c>
      <c r="B249" s="212" t="s">
        <v>1027</v>
      </c>
    </row>
    <row r="250" spans="1:2">
      <c r="A250" s="211" t="s">
        <v>1028</v>
      </c>
      <c r="B250" s="212" t="s">
        <v>1029</v>
      </c>
    </row>
    <row r="251" spans="1:2">
      <c r="A251" s="211" t="s">
        <v>1030</v>
      </c>
      <c r="B251" s="212" t="s">
        <v>1031</v>
      </c>
    </row>
    <row r="252" spans="1:2">
      <c r="A252" s="211" t="s">
        <v>1032</v>
      </c>
      <c r="B252" s="212" t="s">
        <v>1033</v>
      </c>
    </row>
    <row r="253" spans="1:2">
      <c r="A253" s="211" t="s">
        <v>1034</v>
      </c>
      <c r="B253" s="212" t="s">
        <v>1035</v>
      </c>
    </row>
    <row r="254" spans="1:2">
      <c r="A254" s="211" t="s">
        <v>1036</v>
      </c>
      <c r="B254" s="212" t="s">
        <v>1037</v>
      </c>
    </row>
    <row r="255" spans="1:2">
      <c r="A255" s="211" t="s">
        <v>1038</v>
      </c>
      <c r="B255" s="212" t="s">
        <v>1039</v>
      </c>
    </row>
    <row r="256" spans="1:2">
      <c r="A256" s="211" t="s">
        <v>1040</v>
      </c>
      <c r="B256" s="212" t="s">
        <v>1041</v>
      </c>
    </row>
    <row r="257" spans="1:2">
      <c r="A257" s="211" t="s">
        <v>1042</v>
      </c>
      <c r="B257" s="212" t="s">
        <v>1043</v>
      </c>
    </row>
    <row r="258" spans="1:2">
      <c r="A258" s="211" t="s">
        <v>1044</v>
      </c>
      <c r="B258" s="212" t="s">
        <v>1045</v>
      </c>
    </row>
    <row r="259" spans="1:2">
      <c r="A259" s="211" t="s">
        <v>1046</v>
      </c>
      <c r="B259" s="212" t="s">
        <v>1047</v>
      </c>
    </row>
    <row r="260" spans="1:2">
      <c r="A260" s="211" t="s">
        <v>1048</v>
      </c>
      <c r="B260" s="212" t="s">
        <v>1049</v>
      </c>
    </row>
    <row r="261" spans="1:2">
      <c r="A261" s="211" t="s">
        <v>1050</v>
      </c>
      <c r="B261" s="212" t="s">
        <v>1051</v>
      </c>
    </row>
    <row r="262" spans="1:2">
      <c r="A262" s="211" t="s">
        <v>1052</v>
      </c>
      <c r="B262" s="212" t="s">
        <v>1053</v>
      </c>
    </row>
    <row r="263" spans="1:2">
      <c r="A263" s="211" t="s">
        <v>1054</v>
      </c>
      <c r="B263" s="212" t="s">
        <v>1055</v>
      </c>
    </row>
    <row r="264" spans="1:2">
      <c r="A264" s="211" t="s">
        <v>1056</v>
      </c>
      <c r="B264" s="212" t="s">
        <v>1057</v>
      </c>
    </row>
    <row r="265" spans="1:2">
      <c r="A265" s="211" t="s">
        <v>1058</v>
      </c>
      <c r="B265" s="212" t="s">
        <v>1059</v>
      </c>
    </row>
    <row r="266" spans="1:2">
      <c r="A266" s="211" t="s">
        <v>1060</v>
      </c>
      <c r="B266" s="212" t="s">
        <v>1061</v>
      </c>
    </row>
    <row r="267" spans="1:2">
      <c r="A267" s="211" t="s">
        <v>1062</v>
      </c>
      <c r="B267" s="212" t="s">
        <v>1063</v>
      </c>
    </row>
    <row r="268" spans="1:2">
      <c r="A268" s="211" t="s">
        <v>1064</v>
      </c>
      <c r="B268" s="212" t="s">
        <v>1065</v>
      </c>
    </row>
    <row r="269" spans="1:2">
      <c r="A269" s="211" t="s">
        <v>1066</v>
      </c>
      <c r="B269" s="212" t="s">
        <v>1067</v>
      </c>
    </row>
    <row r="270" spans="1:2">
      <c r="A270" s="211" t="s">
        <v>1068</v>
      </c>
      <c r="B270" s="212" t="s">
        <v>1069</v>
      </c>
    </row>
    <row r="271" spans="1:2">
      <c r="A271" s="211" t="s">
        <v>1070</v>
      </c>
      <c r="B271" s="212" t="s">
        <v>1071</v>
      </c>
    </row>
    <row r="272" spans="1:2">
      <c r="A272" s="211" t="s">
        <v>1072</v>
      </c>
      <c r="B272" s="212" t="s">
        <v>1073</v>
      </c>
    </row>
    <row r="273" spans="1:2">
      <c r="A273" s="211" t="s">
        <v>1074</v>
      </c>
      <c r="B273" s="212" t="s">
        <v>1075</v>
      </c>
    </row>
    <row r="274" spans="1:2">
      <c r="A274" s="211" t="s">
        <v>1076</v>
      </c>
      <c r="B274" s="212" t="s">
        <v>1077</v>
      </c>
    </row>
    <row r="275" spans="1:2">
      <c r="A275" s="211" t="s">
        <v>1078</v>
      </c>
      <c r="B275" s="212" t="s">
        <v>1079</v>
      </c>
    </row>
    <row r="276" spans="1:2">
      <c r="A276" s="211" t="s">
        <v>1080</v>
      </c>
      <c r="B276" s="212" t="s">
        <v>1081</v>
      </c>
    </row>
    <row r="277" spans="1:2">
      <c r="A277" s="211" t="s">
        <v>1082</v>
      </c>
      <c r="B277" s="212" t="s">
        <v>1083</v>
      </c>
    </row>
    <row r="278" spans="1:2">
      <c r="A278" s="211" t="s">
        <v>1084</v>
      </c>
      <c r="B278" s="212" t="s">
        <v>1085</v>
      </c>
    </row>
    <row r="279" spans="1:2">
      <c r="A279" s="211" t="s">
        <v>1086</v>
      </c>
      <c r="B279" s="212" t="s">
        <v>1087</v>
      </c>
    </row>
    <row r="280" spans="1:2">
      <c r="A280" s="211" t="s">
        <v>1088</v>
      </c>
      <c r="B280" s="212" t="s">
        <v>1089</v>
      </c>
    </row>
    <row r="281" spans="1:2">
      <c r="A281" s="211" t="s">
        <v>1090</v>
      </c>
      <c r="B281" s="212" t="s">
        <v>1091</v>
      </c>
    </row>
    <row r="282" spans="1:2">
      <c r="A282" s="211" t="s">
        <v>1092</v>
      </c>
      <c r="B282" s="212" t="s">
        <v>1093</v>
      </c>
    </row>
    <row r="283" spans="1:2">
      <c r="A283" s="211" t="s">
        <v>1094</v>
      </c>
      <c r="B283" s="212" t="s">
        <v>1095</v>
      </c>
    </row>
    <row r="284" spans="1:2">
      <c r="A284" s="211" t="s">
        <v>1096</v>
      </c>
      <c r="B284" s="212" t="s">
        <v>1097</v>
      </c>
    </row>
    <row r="285" spans="1:2">
      <c r="A285" s="211" t="s">
        <v>1098</v>
      </c>
      <c r="B285" s="212" t="s">
        <v>1099</v>
      </c>
    </row>
    <row r="286" spans="1:2">
      <c r="A286" s="211" t="s">
        <v>1779</v>
      </c>
      <c r="B286" s="212" t="s">
        <v>1780</v>
      </c>
    </row>
    <row r="287" spans="1:2">
      <c r="A287" s="211" t="s">
        <v>1781</v>
      </c>
      <c r="B287" s="212" t="s">
        <v>1782</v>
      </c>
    </row>
    <row r="288" spans="1:2">
      <c r="A288" s="211" t="s">
        <v>1783</v>
      </c>
      <c r="B288" s="212" t="s">
        <v>1784</v>
      </c>
    </row>
    <row r="289" spans="1:2">
      <c r="A289" s="211" t="s">
        <v>1785</v>
      </c>
      <c r="B289" s="212" t="s">
        <v>1786</v>
      </c>
    </row>
    <row r="290" spans="1:2">
      <c r="A290" s="211" t="s">
        <v>1787</v>
      </c>
      <c r="B290" s="212" t="s">
        <v>1788</v>
      </c>
    </row>
    <row r="291" spans="1:2">
      <c r="A291" s="211" t="s">
        <v>1789</v>
      </c>
      <c r="B291" s="212" t="s">
        <v>1790</v>
      </c>
    </row>
    <row r="292" spans="1:2">
      <c r="A292" s="211" t="s">
        <v>1791</v>
      </c>
      <c r="B292" s="212" t="s">
        <v>1792</v>
      </c>
    </row>
    <row r="293" spans="1:2">
      <c r="A293" s="211" t="s">
        <v>1793</v>
      </c>
      <c r="B293" s="212" t="s">
        <v>1794</v>
      </c>
    </row>
    <row r="294" spans="1:2">
      <c r="A294" s="211" t="s">
        <v>1795</v>
      </c>
      <c r="B294" s="212" t="s">
        <v>1796</v>
      </c>
    </row>
    <row r="295" spans="1:2">
      <c r="A295" s="211" t="s">
        <v>1797</v>
      </c>
      <c r="B295" s="212" t="s">
        <v>1798</v>
      </c>
    </row>
    <row r="296" spans="1:2">
      <c r="A296" s="211" t="s">
        <v>1799</v>
      </c>
      <c r="B296" s="212" t="s">
        <v>1800</v>
      </c>
    </row>
    <row r="297" spans="1:2">
      <c r="A297" s="211" t="s">
        <v>1801</v>
      </c>
      <c r="B297" s="212" t="s">
        <v>1802</v>
      </c>
    </row>
    <row r="298" spans="1:2">
      <c r="A298" s="211" t="s">
        <v>1803</v>
      </c>
      <c r="B298" s="212" t="s">
        <v>1804</v>
      </c>
    </row>
    <row r="299" spans="1:2">
      <c r="A299" s="211" t="s">
        <v>1805</v>
      </c>
      <c r="B299" s="212" t="s">
        <v>1806</v>
      </c>
    </row>
    <row r="300" spans="1:2">
      <c r="A300" s="211" t="s">
        <v>1807</v>
      </c>
      <c r="B300" s="212" t="s">
        <v>1808</v>
      </c>
    </row>
    <row r="301" spans="1:2">
      <c r="A301" s="211" t="s">
        <v>1809</v>
      </c>
      <c r="B301" s="212" t="s">
        <v>1810</v>
      </c>
    </row>
    <row r="302" spans="1:2">
      <c r="A302" s="211" t="s">
        <v>1811</v>
      </c>
      <c r="B302" s="212" t="s">
        <v>1812</v>
      </c>
    </row>
    <row r="303" spans="1:2">
      <c r="A303" s="211" t="s">
        <v>1813</v>
      </c>
      <c r="B303" s="212" t="s">
        <v>1814</v>
      </c>
    </row>
    <row r="304" spans="1:2">
      <c r="A304" s="211" t="s">
        <v>1815</v>
      </c>
      <c r="B304" s="212" t="s">
        <v>1816</v>
      </c>
    </row>
    <row r="305" spans="1:2">
      <c r="A305" s="211" t="s">
        <v>1817</v>
      </c>
      <c r="B305" s="212" t="s">
        <v>1818</v>
      </c>
    </row>
    <row r="306" spans="1:2">
      <c r="A306" s="211" t="s">
        <v>1819</v>
      </c>
      <c r="B306" s="212" t="s">
        <v>1820</v>
      </c>
    </row>
    <row r="307" spans="1:2">
      <c r="A307" s="211" t="s">
        <v>1821</v>
      </c>
      <c r="B307" s="212" t="s">
        <v>1822</v>
      </c>
    </row>
    <row r="308" spans="1:2">
      <c r="A308" s="211" t="s">
        <v>1823</v>
      </c>
      <c r="B308" s="212" t="s">
        <v>1824</v>
      </c>
    </row>
    <row r="309" spans="1:2">
      <c r="A309" s="211" t="s">
        <v>1825</v>
      </c>
      <c r="B309" s="212" t="s">
        <v>1826</v>
      </c>
    </row>
    <row r="310" spans="1:2">
      <c r="A310" s="211" t="s">
        <v>1827</v>
      </c>
      <c r="B310" s="212" t="s">
        <v>1828</v>
      </c>
    </row>
    <row r="311" spans="1:2">
      <c r="A311" s="211" t="s">
        <v>1829</v>
      </c>
      <c r="B311" s="212" t="s">
        <v>1830</v>
      </c>
    </row>
    <row r="312" spans="1:2">
      <c r="A312" s="211" t="s">
        <v>1831</v>
      </c>
      <c r="B312" s="212" t="s">
        <v>1832</v>
      </c>
    </row>
    <row r="313" spans="1:2">
      <c r="A313" s="211" t="s">
        <v>1833</v>
      </c>
      <c r="B313" s="212" t="s">
        <v>1834</v>
      </c>
    </row>
    <row r="314" spans="1:2">
      <c r="A314" s="211" t="s">
        <v>1835</v>
      </c>
      <c r="B314" s="212" t="s">
        <v>1836</v>
      </c>
    </row>
    <row r="315" spans="1:2">
      <c r="A315" s="211" t="s">
        <v>1837</v>
      </c>
      <c r="B315" s="212" t="s">
        <v>1838</v>
      </c>
    </row>
    <row r="316" spans="1:2">
      <c r="A316" s="211" t="s">
        <v>1839</v>
      </c>
      <c r="B316" s="212" t="s">
        <v>1840</v>
      </c>
    </row>
    <row r="317" spans="1:2">
      <c r="A317" s="211" t="s">
        <v>1841</v>
      </c>
      <c r="B317" s="212" t="s">
        <v>1842</v>
      </c>
    </row>
    <row r="318" spans="1:2">
      <c r="A318" s="211" t="s">
        <v>1843</v>
      </c>
      <c r="B318" s="212" t="s">
        <v>1844</v>
      </c>
    </row>
    <row r="319" spans="1:2">
      <c r="A319" s="211" t="s">
        <v>1845</v>
      </c>
      <c r="B319" s="212" t="s">
        <v>1846</v>
      </c>
    </row>
    <row r="320" spans="1:2">
      <c r="A320" s="211" t="s">
        <v>1847</v>
      </c>
      <c r="B320" s="212" t="s">
        <v>1848</v>
      </c>
    </row>
    <row r="321" spans="1:2">
      <c r="A321" s="211" t="s">
        <v>1849</v>
      </c>
      <c r="B321" s="212" t="s">
        <v>1850</v>
      </c>
    </row>
    <row r="322" spans="1:2">
      <c r="A322" s="211" t="s">
        <v>1851</v>
      </c>
      <c r="B322" s="212" t="s">
        <v>1852</v>
      </c>
    </row>
    <row r="323" spans="1:2">
      <c r="A323" s="211" t="s">
        <v>1853</v>
      </c>
      <c r="B323" s="212" t="s">
        <v>1854</v>
      </c>
    </row>
    <row r="324" spans="1:2">
      <c r="A324" s="211" t="s">
        <v>1855</v>
      </c>
      <c r="B324" s="212" t="s">
        <v>1856</v>
      </c>
    </row>
    <row r="325" spans="1:2">
      <c r="A325" s="211" t="s">
        <v>1857</v>
      </c>
      <c r="B325" s="212" t="s">
        <v>1858</v>
      </c>
    </row>
    <row r="326" spans="1:2">
      <c r="A326" s="211" t="s">
        <v>1859</v>
      </c>
      <c r="B326" s="212" t="s">
        <v>1860</v>
      </c>
    </row>
    <row r="327" spans="1:2">
      <c r="A327" s="211" t="s">
        <v>1861</v>
      </c>
      <c r="B327" s="212" t="s">
        <v>1862</v>
      </c>
    </row>
    <row r="328" spans="1:2">
      <c r="A328" s="211" t="s">
        <v>1863</v>
      </c>
      <c r="B328" s="212" t="s">
        <v>1864</v>
      </c>
    </row>
    <row r="329" spans="1:2">
      <c r="A329" s="211" t="s">
        <v>1865</v>
      </c>
      <c r="B329" s="212" t="s">
        <v>1866</v>
      </c>
    </row>
    <row r="330" spans="1:2">
      <c r="A330" s="211" t="s">
        <v>1867</v>
      </c>
      <c r="B330" s="212" t="s">
        <v>1868</v>
      </c>
    </row>
    <row r="331" spans="1:2">
      <c r="A331" s="211" t="s">
        <v>1869</v>
      </c>
      <c r="B331" s="212" t="s">
        <v>1870</v>
      </c>
    </row>
    <row r="332" spans="1:2">
      <c r="A332" s="211" t="s">
        <v>1871</v>
      </c>
      <c r="B332" s="212" t="s">
        <v>1872</v>
      </c>
    </row>
    <row r="333" spans="1:2">
      <c r="A333" s="211" t="s">
        <v>1873</v>
      </c>
      <c r="B333" s="212" t="s">
        <v>1874</v>
      </c>
    </row>
    <row r="334" spans="1:2">
      <c r="A334" s="211" t="s">
        <v>1875</v>
      </c>
      <c r="B334" s="212" t="s">
        <v>1876</v>
      </c>
    </row>
    <row r="335" spans="1:2">
      <c r="A335" s="211" t="s">
        <v>1877</v>
      </c>
      <c r="B335" s="212" t="s">
        <v>1878</v>
      </c>
    </row>
    <row r="336" spans="1:2">
      <c r="A336" s="211" t="s">
        <v>1879</v>
      </c>
      <c r="B336" s="212" t="s">
        <v>1880</v>
      </c>
    </row>
    <row r="337" spans="1:2">
      <c r="A337" s="211" t="s">
        <v>1881</v>
      </c>
      <c r="B337" s="212" t="s">
        <v>1882</v>
      </c>
    </row>
    <row r="338" spans="1:2">
      <c r="A338" s="211" t="s">
        <v>1883</v>
      </c>
      <c r="B338" s="212" t="s">
        <v>1884</v>
      </c>
    </row>
    <row r="339" spans="1:2">
      <c r="A339" s="211" t="s">
        <v>1885</v>
      </c>
      <c r="B339" s="212" t="s">
        <v>1886</v>
      </c>
    </row>
    <row r="340" spans="1:2">
      <c r="A340" s="211" t="s">
        <v>1887</v>
      </c>
      <c r="B340" s="212" t="s">
        <v>1888</v>
      </c>
    </row>
    <row r="341" spans="1:2">
      <c r="A341" s="211" t="s">
        <v>1889</v>
      </c>
      <c r="B341" s="212" t="s">
        <v>1890</v>
      </c>
    </row>
    <row r="342" spans="1:2">
      <c r="A342" s="211" t="s">
        <v>1891</v>
      </c>
      <c r="B342" s="212" t="s">
        <v>1892</v>
      </c>
    </row>
    <row r="343" spans="1:2">
      <c r="A343" s="211" t="s">
        <v>1893</v>
      </c>
      <c r="B343" s="212" t="s">
        <v>1894</v>
      </c>
    </row>
    <row r="344" spans="1:2">
      <c r="A344" s="211" t="s">
        <v>1895</v>
      </c>
      <c r="B344" s="212" t="s">
        <v>1896</v>
      </c>
    </row>
    <row r="345" spans="1:2">
      <c r="A345" s="211" t="s">
        <v>1897</v>
      </c>
      <c r="B345" s="212" t="s">
        <v>1898</v>
      </c>
    </row>
    <row r="346" spans="1:2">
      <c r="A346" s="211" t="s">
        <v>1899</v>
      </c>
      <c r="B346" s="212" t="s">
        <v>1900</v>
      </c>
    </row>
    <row r="347" spans="1:2">
      <c r="A347" s="211" t="s">
        <v>1901</v>
      </c>
      <c r="B347" s="212" t="s">
        <v>1902</v>
      </c>
    </row>
    <row r="348" spans="1:2">
      <c r="A348" s="211" t="s">
        <v>1903</v>
      </c>
      <c r="B348" s="212" t="s">
        <v>1904</v>
      </c>
    </row>
    <row r="349" spans="1:2">
      <c r="A349" s="211" t="s">
        <v>1905</v>
      </c>
      <c r="B349" s="212"/>
    </row>
    <row r="350" spans="1:2">
      <c r="A350" s="211" t="s">
        <v>1906</v>
      </c>
      <c r="B350" s="212" t="s">
        <v>1907</v>
      </c>
    </row>
    <row r="351" spans="1:2">
      <c r="A351" s="211" t="s">
        <v>1908</v>
      </c>
      <c r="B351" s="212" t="s">
        <v>1909</v>
      </c>
    </row>
    <row r="352" spans="1:2">
      <c r="A352" s="211" t="s">
        <v>1910</v>
      </c>
      <c r="B352" s="212" t="s">
        <v>1911</v>
      </c>
    </row>
    <row r="353" spans="1:2">
      <c r="A353" s="211" t="s">
        <v>1912</v>
      </c>
      <c r="B353" s="212" t="s">
        <v>1913</v>
      </c>
    </row>
    <row r="354" spans="1:2">
      <c r="A354" s="211" t="s">
        <v>1914</v>
      </c>
      <c r="B354" s="212" t="s">
        <v>1915</v>
      </c>
    </row>
    <row r="355" spans="1:2">
      <c r="A355" s="211" t="s">
        <v>1916</v>
      </c>
      <c r="B355" s="212" t="s">
        <v>1917</v>
      </c>
    </row>
    <row r="356" spans="1:2">
      <c r="A356" s="211" t="s">
        <v>1918</v>
      </c>
      <c r="B356" s="212" t="s">
        <v>1919</v>
      </c>
    </row>
    <row r="357" spans="1:2">
      <c r="A357" s="211" t="s">
        <v>1920</v>
      </c>
      <c r="B357" s="212" t="s">
        <v>1921</v>
      </c>
    </row>
    <row r="358" spans="1:2">
      <c r="A358" s="211" t="s">
        <v>1922</v>
      </c>
      <c r="B358" s="212" t="s">
        <v>1923</v>
      </c>
    </row>
    <row r="359" spans="1:2">
      <c r="A359" s="211" t="s">
        <v>1924</v>
      </c>
      <c r="B359" s="212" t="s">
        <v>1925</v>
      </c>
    </row>
    <row r="360" spans="1:2">
      <c r="A360" s="211" t="s">
        <v>1926</v>
      </c>
      <c r="B360" s="212" t="s">
        <v>1927</v>
      </c>
    </row>
    <row r="361" spans="1:2">
      <c r="A361" s="211" t="s">
        <v>1928</v>
      </c>
      <c r="B361" s="212" t="s">
        <v>1929</v>
      </c>
    </row>
    <row r="362" spans="1:2">
      <c r="A362" s="211" t="s">
        <v>1930</v>
      </c>
      <c r="B362" s="212" t="s">
        <v>1931</v>
      </c>
    </row>
    <row r="363" spans="1:2">
      <c r="A363" s="211" t="s">
        <v>1932</v>
      </c>
      <c r="B363" s="212" t="s">
        <v>1933</v>
      </c>
    </row>
    <row r="364" spans="1:2">
      <c r="A364" s="211" t="s">
        <v>1934</v>
      </c>
      <c r="B364" s="212" t="s">
        <v>1935</v>
      </c>
    </row>
    <row r="365" spans="1:2">
      <c r="A365" s="211" t="s">
        <v>1936</v>
      </c>
      <c r="B365" s="212" t="s">
        <v>1937</v>
      </c>
    </row>
    <row r="366" spans="1:2">
      <c r="A366" s="211" t="s">
        <v>1938</v>
      </c>
      <c r="B366" s="212" t="s">
        <v>1939</v>
      </c>
    </row>
    <row r="367" spans="1:2">
      <c r="A367" s="211" t="s">
        <v>1940</v>
      </c>
      <c r="B367" s="212" t="s">
        <v>1941</v>
      </c>
    </row>
    <row r="368" spans="1:2">
      <c r="A368" s="211" t="s">
        <v>1942</v>
      </c>
      <c r="B368" s="212" t="s">
        <v>1943</v>
      </c>
    </row>
    <row r="369" spans="1:2">
      <c r="A369" s="211" t="s">
        <v>1944</v>
      </c>
      <c r="B369" s="212" t="s">
        <v>1945</v>
      </c>
    </row>
    <row r="370" spans="1:2">
      <c r="A370" s="211" t="s">
        <v>1946</v>
      </c>
      <c r="B370" s="212" t="s">
        <v>1947</v>
      </c>
    </row>
    <row r="371" spans="1:2">
      <c r="A371" s="211" t="s">
        <v>1948</v>
      </c>
      <c r="B371" s="212" t="s">
        <v>1949</v>
      </c>
    </row>
    <row r="372" spans="1:2">
      <c r="A372" s="211" t="s">
        <v>1950</v>
      </c>
      <c r="B372" s="212" t="s">
        <v>1951</v>
      </c>
    </row>
    <row r="373" spans="1:2">
      <c r="A373" s="211" t="s">
        <v>1952</v>
      </c>
      <c r="B373" s="212" t="s">
        <v>1953</v>
      </c>
    </row>
    <row r="374" spans="1:2">
      <c r="A374" s="211" t="s">
        <v>1954</v>
      </c>
      <c r="B374" s="212" t="s">
        <v>1955</v>
      </c>
    </row>
    <row r="375" spans="1:2">
      <c r="A375" s="211" t="s">
        <v>1956</v>
      </c>
      <c r="B375" s="212" t="s">
        <v>1957</v>
      </c>
    </row>
    <row r="376" spans="1:2">
      <c r="A376" s="211" t="s">
        <v>1958</v>
      </c>
      <c r="B376" s="212" t="s">
        <v>1959</v>
      </c>
    </row>
    <row r="377" spans="1:2">
      <c r="A377" s="211" t="s">
        <v>1960</v>
      </c>
      <c r="B377" s="212" t="s">
        <v>1961</v>
      </c>
    </row>
    <row r="378" spans="1:2">
      <c r="A378" s="211" t="s">
        <v>1962</v>
      </c>
      <c r="B378" s="212" t="s">
        <v>1963</v>
      </c>
    </row>
    <row r="379" spans="1:2">
      <c r="A379" s="211" t="s">
        <v>1964</v>
      </c>
      <c r="B379" s="212" t="s">
        <v>1965</v>
      </c>
    </row>
    <row r="380" spans="1:2">
      <c r="A380" s="210" t="s">
        <v>151</v>
      </c>
      <c r="B380" s="213" t="s">
        <v>2315</v>
      </c>
    </row>
    <row r="381" spans="1:2">
      <c r="A381" s="211" t="s">
        <v>1100</v>
      </c>
      <c r="B381" s="212" t="s">
        <v>1101</v>
      </c>
    </row>
    <row r="382" spans="1:2">
      <c r="A382" s="211" t="s">
        <v>1102</v>
      </c>
      <c r="B382" s="212" t="s">
        <v>1103</v>
      </c>
    </row>
    <row r="383" spans="1:2">
      <c r="A383" s="211" t="s">
        <v>1104</v>
      </c>
      <c r="B383" s="212" t="s">
        <v>1105</v>
      </c>
    </row>
    <row r="384" spans="1:2">
      <c r="A384" s="211" t="s">
        <v>1106</v>
      </c>
      <c r="B384" s="212" t="s">
        <v>1107</v>
      </c>
    </row>
    <row r="385" spans="1:2">
      <c r="A385" s="211" t="s">
        <v>1966</v>
      </c>
      <c r="B385" s="212" t="s">
        <v>1967</v>
      </c>
    </row>
    <row r="386" spans="1:2">
      <c r="A386" s="211" t="s">
        <v>1968</v>
      </c>
      <c r="B386" s="212" t="s">
        <v>1969</v>
      </c>
    </row>
    <row r="387" spans="1:2">
      <c r="A387" s="210" t="s">
        <v>2318</v>
      </c>
      <c r="B387" s="213" t="s">
        <v>2316</v>
      </c>
    </row>
    <row r="388" spans="1:2">
      <c r="A388" s="211" t="s">
        <v>827</v>
      </c>
      <c r="B388" s="212"/>
    </row>
    <row r="389" spans="1:2">
      <c r="A389" s="210" t="s">
        <v>264</v>
      </c>
      <c r="B389" s="213" t="s">
        <v>811</v>
      </c>
    </row>
    <row r="390" spans="1:2">
      <c r="A390" s="211" t="s">
        <v>1108</v>
      </c>
      <c r="B390" s="212" t="s">
        <v>347</v>
      </c>
    </row>
    <row r="391" spans="1:2">
      <c r="A391" s="211" t="s">
        <v>1109</v>
      </c>
      <c r="B391" s="212" t="s">
        <v>348</v>
      </c>
    </row>
    <row r="392" spans="1:2">
      <c r="A392" s="211" t="s">
        <v>1110</v>
      </c>
      <c r="B392" s="212" t="s">
        <v>1111</v>
      </c>
    </row>
    <row r="393" spans="1:2">
      <c r="A393" s="211" t="s">
        <v>1112</v>
      </c>
      <c r="B393" s="212" t="s">
        <v>1113</v>
      </c>
    </row>
    <row r="394" spans="1:2">
      <c r="A394" s="211" t="s">
        <v>1970</v>
      </c>
      <c r="B394" s="212" t="s">
        <v>1495</v>
      </c>
    </row>
    <row r="395" spans="1:2">
      <c r="A395" s="210" t="s">
        <v>812</v>
      </c>
      <c r="B395" s="213" t="s">
        <v>813</v>
      </c>
    </row>
    <row r="396" spans="1:2">
      <c r="A396" s="211" t="s">
        <v>1114</v>
      </c>
      <c r="B396" s="212" t="s">
        <v>1115</v>
      </c>
    </row>
    <row r="397" spans="1:2">
      <c r="A397" s="211" t="s">
        <v>1116</v>
      </c>
      <c r="B397" s="212" t="s">
        <v>1117</v>
      </c>
    </row>
    <row r="398" spans="1:2">
      <c r="A398" s="211" t="s">
        <v>1118</v>
      </c>
      <c r="B398" s="212" t="s">
        <v>1119</v>
      </c>
    </row>
    <row r="399" spans="1:2">
      <c r="A399" s="210" t="s">
        <v>814</v>
      </c>
      <c r="B399" s="213" t="s">
        <v>815</v>
      </c>
    </row>
    <row r="400" spans="1:2">
      <c r="A400" s="211" t="s">
        <v>1120</v>
      </c>
      <c r="B400" s="212" t="s">
        <v>1121</v>
      </c>
    </row>
    <row r="401" spans="1:2">
      <c r="A401" s="209" t="s">
        <v>655</v>
      </c>
      <c r="B401" s="214" t="s">
        <v>1201</v>
      </c>
    </row>
    <row r="402" spans="1:2">
      <c r="A402" s="210" t="s">
        <v>1199</v>
      </c>
      <c r="B402" s="213" t="s">
        <v>1200</v>
      </c>
    </row>
    <row r="403" spans="1:2">
      <c r="A403" s="210" t="s">
        <v>822</v>
      </c>
      <c r="B403" s="213" t="s">
        <v>2317</v>
      </c>
    </row>
    <row r="404" spans="1:2">
      <c r="A404" s="211" t="s">
        <v>1122</v>
      </c>
      <c r="B404" s="212" t="s">
        <v>1123</v>
      </c>
    </row>
    <row r="405" spans="1:2">
      <c r="A405" s="211" t="s">
        <v>1124</v>
      </c>
      <c r="B405" s="212" t="s">
        <v>1125</v>
      </c>
    </row>
    <row r="406" spans="1:2">
      <c r="A406" s="211" t="s">
        <v>1126</v>
      </c>
      <c r="B406" s="212" t="s">
        <v>1127</v>
      </c>
    </row>
    <row r="407" spans="1:2">
      <c r="A407" s="211" t="s">
        <v>1128</v>
      </c>
      <c r="B407" s="212" t="s">
        <v>1129</v>
      </c>
    </row>
    <row r="408" spans="1:2">
      <c r="A408" s="211" t="s">
        <v>1130</v>
      </c>
      <c r="B408" s="212" t="s">
        <v>1131</v>
      </c>
    </row>
    <row r="409" spans="1:2">
      <c r="A409" s="211" t="s">
        <v>1132</v>
      </c>
      <c r="B409" s="212" t="s">
        <v>1133</v>
      </c>
    </row>
    <row r="410" spans="1:2">
      <c r="A410" s="211" t="s">
        <v>1134</v>
      </c>
      <c r="B410" s="212" t="s">
        <v>1135</v>
      </c>
    </row>
    <row r="411" spans="1:2">
      <c r="A411" s="211" t="s">
        <v>1136</v>
      </c>
      <c r="B411" s="212" t="s">
        <v>1137</v>
      </c>
    </row>
    <row r="412" spans="1:2">
      <c r="A412" s="211" t="s">
        <v>1138</v>
      </c>
      <c r="B412" s="212" t="s">
        <v>1139</v>
      </c>
    </row>
    <row r="413" spans="1:2">
      <c r="A413" s="211" t="s">
        <v>1140</v>
      </c>
      <c r="B413" s="212" t="s">
        <v>1141</v>
      </c>
    </row>
    <row r="414" spans="1:2">
      <c r="A414" s="211" t="s">
        <v>1142</v>
      </c>
      <c r="B414" s="212" t="s">
        <v>1143</v>
      </c>
    </row>
    <row r="415" spans="1:2">
      <c r="A415" s="211" t="s">
        <v>1144</v>
      </c>
      <c r="B415" s="212" t="s">
        <v>1145</v>
      </c>
    </row>
    <row r="416" spans="1:2">
      <c r="A416" s="211" t="s">
        <v>1146</v>
      </c>
      <c r="B416" s="212" t="s">
        <v>1147</v>
      </c>
    </row>
    <row r="417" spans="1:2">
      <c r="A417" s="211" t="s">
        <v>1148</v>
      </c>
      <c r="B417" s="212" t="s">
        <v>1149</v>
      </c>
    </row>
    <row r="418" spans="1:2">
      <c r="A418" s="211" t="s">
        <v>1150</v>
      </c>
      <c r="B418" s="212" t="s">
        <v>1151</v>
      </c>
    </row>
    <row r="419" spans="1:2">
      <c r="A419" s="211" t="s">
        <v>1152</v>
      </c>
      <c r="B419" s="212" t="s">
        <v>1153</v>
      </c>
    </row>
    <row r="420" spans="1:2">
      <c r="A420" s="211" t="s">
        <v>1154</v>
      </c>
      <c r="B420" s="212" t="s">
        <v>1155</v>
      </c>
    </row>
    <row r="421" spans="1:2">
      <c r="A421" s="211" t="s">
        <v>1156</v>
      </c>
      <c r="B421" s="212" t="s">
        <v>1157</v>
      </c>
    </row>
    <row r="422" spans="1:2">
      <c r="A422" s="211" t="s">
        <v>1158</v>
      </c>
      <c r="B422" s="212" t="s">
        <v>1159</v>
      </c>
    </row>
    <row r="423" spans="1:2" ht="22.5">
      <c r="A423" s="211" t="s">
        <v>1160</v>
      </c>
      <c r="B423" s="212" t="s">
        <v>1161</v>
      </c>
    </row>
    <row r="424" spans="1:2">
      <c r="A424" s="211" t="s">
        <v>1162</v>
      </c>
      <c r="B424" s="212" t="s">
        <v>1163</v>
      </c>
    </row>
    <row r="425" spans="1:2">
      <c r="A425" s="211" t="s">
        <v>1164</v>
      </c>
      <c r="B425" s="212" t="s">
        <v>1165</v>
      </c>
    </row>
    <row r="426" spans="1:2">
      <c r="A426" s="211" t="s">
        <v>1166</v>
      </c>
      <c r="B426" s="212" t="s">
        <v>1167</v>
      </c>
    </row>
    <row r="427" spans="1:2">
      <c r="A427" s="211" t="s">
        <v>1168</v>
      </c>
      <c r="B427" s="212" t="s">
        <v>1169</v>
      </c>
    </row>
    <row r="428" spans="1:2">
      <c r="A428" s="211" t="s">
        <v>1170</v>
      </c>
      <c r="B428" s="212" t="s">
        <v>1171</v>
      </c>
    </row>
    <row r="429" spans="1:2">
      <c r="A429" s="211" t="s">
        <v>1172</v>
      </c>
      <c r="B429" s="212" t="s">
        <v>1173</v>
      </c>
    </row>
    <row r="430" spans="1:2">
      <c r="A430" s="211" t="s">
        <v>1174</v>
      </c>
      <c r="B430" s="212" t="s">
        <v>1175</v>
      </c>
    </row>
    <row r="431" spans="1:2">
      <c r="A431" s="211" t="s">
        <v>1176</v>
      </c>
      <c r="B431" s="212" t="s">
        <v>1177</v>
      </c>
    </row>
    <row r="432" spans="1:2">
      <c r="A432" s="211" t="s">
        <v>1178</v>
      </c>
      <c r="B432" s="212" t="s">
        <v>1179</v>
      </c>
    </row>
    <row r="433" spans="1:2">
      <c r="A433" s="211" t="s">
        <v>1180</v>
      </c>
      <c r="B433" s="212" t="s">
        <v>1181</v>
      </c>
    </row>
    <row r="434" spans="1:2">
      <c r="A434" s="211" t="s">
        <v>1182</v>
      </c>
      <c r="B434" s="212" t="s">
        <v>1183</v>
      </c>
    </row>
    <row r="435" spans="1:2">
      <c r="A435" s="211" t="s">
        <v>1184</v>
      </c>
      <c r="B435" s="212" t="s">
        <v>1185</v>
      </c>
    </row>
    <row r="436" spans="1:2">
      <c r="A436" s="211" t="s">
        <v>1186</v>
      </c>
      <c r="B436" s="212" t="s">
        <v>1187</v>
      </c>
    </row>
    <row r="437" spans="1:2">
      <c r="A437" s="211" t="s">
        <v>1188</v>
      </c>
      <c r="B437" s="212" t="s">
        <v>1189</v>
      </c>
    </row>
    <row r="438" spans="1:2">
      <c r="A438" s="211" t="s">
        <v>1971</v>
      </c>
      <c r="B438" s="212" t="s">
        <v>1972</v>
      </c>
    </row>
    <row r="439" spans="1:2">
      <c r="A439" s="211" t="s">
        <v>1973</v>
      </c>
      <c r="B439" s="212" t="s">
        <v>1974</v>
      </c>
    </row>
    <row r="440" spans="1:2">
      <c r="A440" s="211" t="s">
        <v>1975</v>
      </c>
      <c r="B440" s="212" t="s">
        <v>1976</v>
      </c>
    </row>
    <row r="441" spans="1:2">
      <c r="A441" s="211" t="s">
        <v>1977</v>
      </c>
      <c r="B441" s="212" t="s">
        <v>1978</v>
      </c>
    </row>
    <row r="442" spans="1:2">
      <c r="A442" s="211" t="s">
        <v>1979</v>
      </c>
      <c r="B442" s="212" t="s">
        <v>1980</v>
      </c>
    </row>
    <row r="443" spans="1:2">
      <c r="A443" s="211" t="s">
        <v>1981</v>
      </c>
      <c r="B443" s="212" t="s">
        <v>1982</v>
      </c>
    </row>
    <row r="444" spans="1:2">
      <c r="A444" s="211" t="s">
        <v>1983</v>
      </c>
      <c r="B444" s="212" t="s">
        <v>1984</v>
      </c>
    </row>
    <row r="445" spans="1:2">
      <c r="A445" s="211" t="s">
        <v>1985</v>
      </c>
      <c r="B445" s="212" t="s">
        <v>1986</v>
      </c>
    </row>
    <row r="446" spans="1:2">
      <c r="A446" s="211" t="s">
        <v>1987</v>
      </c>
      <c r="B446" s="212" t="s">
        <v>1988</v>
      </c>
    </row>
    <row r="447" spans="1:2">
      <c r="A447" s="211" t="s">
        <v>1989</v>
      </c>
      <c r="B447" s="212" t="s">
        <v>1990</v>
      </c>
    </row>
    <row r="448" spans="1:2">
      <c r="A448" s="211" t="s">
        <v>1991</v>
      </c>
      <c r="B448" s="212" t="s">
        <v>1992</v>
      </c>
    </row>
    <row r="449" spans="1:2">
      <c r="A449" s="211" t="s">
        <v>1993</v>
      </c>
      <c r="B449" s="212" t="s">
        <v>1994</v>
      </c>
    </row>
    <row r="450" spans="1:2">
      <c r="A450" s="211" t="s">
        <v>1995</v>
      </c>
      <c r="B450" s="212" t="s">
        <v>1996</v>
      </c>
    </row>
    <row r="451" spans="1:2">
      <c r="A451" s="211" t="s">
        <v>1997</v>
      </c>
      <c r="B451" s="212" t="s">
        <v>1998</v>
      </c>
    </row>
    <row r="452" spans="1:2">
      <c r="A452" s="211" t="s">
        <v>1999</v>
      </c>
      <c r="B452" s="212" t="s">
        <v>2000</v>
      </c>
    </row>
    <row r="453" spans="1:2">
      <c r="A453" s="211" t="s">
        <v>2001</v>
      </c>
      <c r="B453" s="212" t="s">
        <v>2002</v>
      </c>
    </row>
    <row r="454" spans="1:2">
      <c r="A454" s="211" t="s">
        <v>2003</v>
      </c>
      <c r="B454" s="212" t="s">
        <v>2004</v>
      </c>
    </row>
    <row r="455" spans="1:2">
      <c r="A455" s="211" t="s">
        <v>2005</v>
      </c>
      <c r="B455" s="212" t="s">
        <v>2006</v>
      </c>
    </row>
    <row r="456" spans="1:2">
      <c r="A456" s="211" t="s">
        <v>2007</v>
      </c>
      <c r="B456" s="212" t="s">
        <v>2008</v>
      </c>
    </row>
    <row r="457" spans="1:2">
      <c r="A457" s="211" t="s">
        <v>2009</v>
      </c>
      <c r="B457" s="212" t="s">
        <v>2010</v>
      </c>
    </row>
    <row r="458" spans="1:2">
      <c r="A458" s="211" t="s">
        <v>2011</v>
      </c>
      <c r="B458" s="212" t="s">
        <v>2012</v>
      </c>
    </row>
    <row r="459" spans="1:2">
      <c r="A459" s="211" t="s">
        <v>2013</v>
      </c>
      <c r="B459" s="212" t="s">
        <v>2014</v>
      </c>
    </row>
    <row r="460" spans="1:2">
      <c r="A460" s="211" t="s">
        <v>2015</v>
      </c>
      <c r="B460" s="212" t="s">
        <v>2016</v>
      </c>
    </row>
    <row r="461" spans="1:2">
      <c r="A461" s="211" t="s">
        <v>2017</v>
      </c>
      <c r="B461" s="212" t="s">
        <v>2018</v>
      </c>
    </row>
    <row r="462" spans="1:2">
      <c r="A462" s="211" t="s">
        <v>2019</v>
      </c>
      <c r="B462" s="212" t="s">
        <v>2020</v>
      </c>
    </row>
    <row r="463" spans="1:2">
      <c r="A463" s="211" t="s">
        <v>2021</v>
      </c>
      <c r="B463" s="212" t="s">
        <v>2022</v>
      </c>
    </row>
    <row r="464" spans="1:2">
      <c r="A464" s="210" t="s">
        <v>826</v>
      </c>
      <c r="B464" s="213" t="s">
        <v>811</v>
      </c>
    </row>
    <row r="465" spans="1:2">
      <c r="A465" s="211" t="s">
        <v>1190</v>
      </c>
      <c r="B465" s="212" t="s">
        <v>347</v>
      </c>
    </row>
    <row r="466" spans="1:2">
      <c r="A466" s="211" t="s">
        <v>1191</v>
      </c>
      <c r="B466" s="212" t="s">
        <v>348</v>
      </c>
    </row>
    <row r="467" spans="1:2">
      <c r="A467" s="211" t="s">
        <v>1192</v>
      </c>
      <c r="B467" s="212" t="s">
        <v>1193</v>
      </c>
    </row>
    <row r="468" spans="1:2">
      <c r="A468" s="211" t="s">
        <v>1194</v>
      </c>
      <c r="B468" s="212" t="s">
        <v>1111</v>
      </c>
    </row>
    <row r="469" spans="1:2">
      <c r="A469" s="211" t="s">
        <v>2023</v>
      </c>
      <c r="B469" s="212"/>
    </row>
    <row r="470" spans="1:2">
      <c r="A470" s="211" t="s">
        <v>2024</v>
      </c>
      <c r="B470" s="212"/>
    </row>
    <row r="471" spans="1:2">
      <c r="A471" s="211" t="s">
        <v>2025</v>
      </c>
      <c r="B471" s="212" t="s">
        <v>2026</v>
      </c>
    </row>
    <row r="472" spans="1:2">
      <c r="A472" s="211" t="s">
        <v>2027</v>
      </c>
      <c r="B472" s="212" t="s">
        <v>1495</v>
      </c>
    </row>
    <row r="473" spans="1:2">
      <c r="A473" s="209" t="s">
        <v>1251</v>
      </c>
      <c r="B473" s="214" t="s">
        <v>1252</v>
      </c>
    </row>
    <row r="474" spans="1:2">
      <c r="A474" s="210" t="s">
        <v>1253</v>
      </c>
      <c r="B474" s="213" t="s">
        <v>1254</v>
      </c>
    </row>
    <row r="475" spans="1:2">
      <c r="A475" s="210" t="s">
        <v>1281</v>
      </c>
      <c r="B475" s="213" t="s">
        <v>1282</v>
      </c>
    </row>
    <row r="476" spans="1:2">
      <c r="A476" s="211" t="s">
        <v>1509</v>
      </c>
      <c r="B476" s="212" t="s">
        <v>1510</v>
      </c>
    </row>
    <row r="477" spans="1:2">
      <c r="A477" s="210" t="s">
        <v>1283</v>
      </c>
      <c r="B477" s="213" t="s">
        <v>1284</v>
      </c>
    </row>
    <row r="478" spans="1:2">
      <c r="A478" s="211" t="s">
        <v>1511</v>
      </c>
      <c r="B478" s="212" t="s">
        <v>1512</v>
      </c>
    </row>
    <row r="479" spans="1:2">
      <c r="A479" s="211" t="s">
        <v>1513</v>
      </c>
      <c r="B479" s="212" t="s">
        <v>1514</v>
      </c>
    </row>
    <row r="480" spans="1:2">
      <c r="A480" s="209" t="s">
        <v>1290</v>
      </c>
      <c r="B480" s="214" t="s">
        <v>1291</v>
      </c>
    </row>
    <row r="481" spans="1:2">
      <c r="A481" s="210" t="s">
        <v>1253</v>
      </c>
      <c r="B481" s="213" t="s">
        <v>1254</v>
      </c>
    </row>
    <row r="482" spans="1:2">
      <c r="A482" s="210" t="s">
        <v>1298</v>
      </c>
      <c r="B482" s="213" t="s">
        <v>1299</v>
      </c>
    </row>
    <row r="483" spans="1:2">
      <c r="A483" s="211" t="s">
        <v>1515</v>
      </c>
      <c r="B483" s="212" t="s">
        <v>1516</v>
      </c>
    </row>
    <row r="484" spans="1:2">
      <c r="A484" s="211" t="s">
        <v>1517</v>
      </c>
      <c r="B484" s="212" t="s">
        <v>1518</v>
      </c>
    </row>
    <row r="485" spans="1:2">
      <c r="A485" s="211" t="s">
        <v>1519</v>
      </c>
      <c r="B485" s="212" t="s">
        <v>1520</v>
      </c>
    </row>
    <row r="486" spans="1:2">
      <c r="A486" s="209" t="s">
        <v>1413</v>
      </c>
      <c r="B486" s="214" t="s">
        <v>1414</v>
      </c>
    </row>
    <row r="487" spans="1:2">
      <c r="A487" s="210" t="s">
        <v>1207</v>
      </c>
      <c r="B487" s="213" t="s">
        <v>1208</v>
      </c>
    </row>
    <row r="488" spans="1:2">
      <c r="A488" s="210" t="s">
        <v>1443</v>
      </c>
      <c r="B488" s="213" t="s">
        <v>813</v>
      </c>
    </row>
    <row r="489" spans="1:2">
      <c r="A489" s="211" t="s">
        <v>1521</v>
      </c>
      <c r="B489" s="212" t="s">
        <v>1522</v>
      </c>
    </row>
    <row r="490" spans="1:2">
      <c r="A490" s="211" t="s">
        <v>1523</v>
      </c>
      <c r="B490" s="212" t="s">
        <v>1524</v>
      </c>
    </row>
    <row r="491" spans="1:2">
      <c r="A491" s="211" t="s">
        <v>1525</v>
      </c>
      <c r="B491" s="212" t="s">
        <v>1526</v>
      </c>
    </row>
    <row r="492" spans="1:2">
      <c r="A492" s="211" t="s">
        <v>1527</v>
      </c>
      <c r="B492" s="212" t="s">
        <v>1528</v>
      </c>
    </row>
    <row r="493" spans="1:2">
      <c r="A493" s="211" t="s">
        <v>1529</v>
      </c>
      <c r="B493" s="212" t="s">
        <v>1530</v>
      </c>
    </row>
    <row r="494" spans="1:2">
      <c r="A494" s="211" t="s">
        <v>1531</v>
      </c>
      <c r="B494" s="212" t="s">
        <v>1532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kkramar</cp:lastModifiedBy>
  <cp:lastPrinted>2020-10-07T13:13:47Z</cp:lastPrinted>
  <dcterms:created xsi:type="dcterms:W3CDTF">2018-09-10T07:36:17Z</dcterms:created>
  <dcterms:modified xsi:type="dcterms:W3CDTF">2020-10-20T12:49:57Z</dcterms:modified>
</cp:coreProperties>
</file>